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xl/comments47.xml" ContentType="application/vnd.openxmlformats-officedocument.spreadsheetml.comments+xml"/>
  <Override PartName="/xl/comments48.xml" ContentType="application/vnd.openxmlformats-officedocument.spreadsheetml.comments+xml"/>
  <Override PartName="/xl/comments49.xml" ContentType="application/vnd.openxmlformats-officedocument.spreadsheetml.comments+xml"/>
  <Override PartName="/xl/comments50.xml" ContentType="application/vnd.openxmlformats-officedocument.spreadsheetml.comments+xml"/>
  <Override PartName="/xl/comments51.xml" ContentType="application/vnd.openxmlformats-officedocument.spreadsheetml.comments+xml"/>
  <Override PartName="/xl/comments52.xml" ContentType="application/vnd.openxmlformats-officedocument.spreadsheetml.comments+xml"/>
  <Override PartName="/xl/comments53.xml" ContentType="application/vnd.openxmlformats-officedocument.spreadsheetml.comments+xml"/>
  <Override PartName="/xl/comments54.xml" ContentType="application/vnd.openxmlformats-officedocument.spreadsheetml.comments+xml"/>
  <Override PartName="/xl/comments55.xml" ContentType="application/vnd.openxmlformats-officedocument.spreadsheetml.comments+xml"/>
  <Override PartName="/xl/comments56.xml" ContentType="application/vnd.openxmlformats-officedocument.spreadsheetml.comments+xml"/>
  <Override PartName="/xl/comments57.xml" ContentType="application/vnd.openxmlformats-officedocument.spreadsheetml.comments+xml"/>
  <Override PartName="/xl/comments58.xml" ContentType="application/vnd.openxmlformats-officedocument.spreadsheetml.comments+xml"/>
  <Override PartName="/xl/comments59.xml" ContentType="application/vnd.openxmlformats-officedocument.spreadsheetml.comments+xml"/>
  <Override PartName="/xl/comments60.xml" ContentType="application/vnd.openxmlformats-officedocument.spreadsheetml.comments+xml"/>
  <Override PartName="/xl/comments61.xml" ContentType="application/vnd.openxmlformats-officedocument.spreadsheetml.comments+xml"/>
  <Override PartName="/xl/comments62.xml" ContentType="application/vnd.openxmlformats-officedocument.spreadsheetml.comments+xml"/>
  <Override PartName="/xl/comments63.xml" ContentType="application/vnd.openxmlformats-officedocument.spreadsheetml.comments+xml"/>
  <Override PartName="/xl/comments64.xml" ContentType="application/vnd.openxmlformats-officedocument.spreadsheetml.comments+xml"/>
  <Override PartName="/xl/comments65.xml" ContentType="application/vnd.openxmlformats-officedocument.spreadsheetml.comments+xml"/>
  <Override PartName="/xl/comments66.xml" ContentType="application/vnd.openxmlformats-officedocument.spreadsheetml.comments+xml"/>
  <Override PartName="/xl/comments67.xml" ContentType="application/vnd.openxmlformats-officedocument.spreadsheetml.comments+xml"/>
  <Override PartName="/xl/comments68.xml" ContentType="application/vnd.openxmlformats-officedocument.spreadsheetml.comments+xml"/>
  <Override PartName="/xl/comments69.xml" ContentType="application/vnd.openxmlformats-officedocument.spreadsheetml.comments+xml"/>
  <Override PartName="/xl/comments70.xml" ContentType="application/vnd.openxmlformats-officedocument.spreadsheetml.comments+xml"/>
  <Override PartName="/xl/comments71.xml" ContentType="application/vnd.openxmlformats-officedocument.spreadsheetml.comments+xml"/>
  <Override PartName="/xl/comments7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160" tabRatio="940" activeTab="4"/>
  </bookViews>
  <sheets>
    <sheet name="CARGOS E SAL BASE" sheetId="4" r:id="rId1"/>
    <sheet name="COMPARAÇÃO PMPA" sheetId="32" state="hidden" r:id="rId2"/>
    <sheet name="PROPOSTA DE PREÇOS" sheetId="30" state="hidden" r:id="rId3"/>
    <sheet name="REG. DE TRIBUTAÇÃO" sheetId="31" r:id="rId4"/>
    <sheet name="AUXILIAR ADMINISTRATIVO" sheetId="17" r:id="rId5"/>
    <sheet name="AUX ADM 12X36 DIURNO" sheetId="58" r:id="rId6"/>
    <sheet name="RECEPCIONISTA 44" sheetId="60" r:id="rId7"/>
    <sheet name="RECEPCIONISTA 12X36" sheetId="59" r:id="rId8"/>
    <sheet name="RECEPCIONISTA 12X36 N" sheetId="61" r:id="rId9"/>
    <sheet name="AUXILIAR DE COZINHA" sheetId="20" r:id="rId10"/>
    <sheet name="AUXILIAR DE COZINHA 12X36" sheetId="62" r:id="rId11"/>
    <sheet name="AUXILIAR DE LIMPEZA" sheetId="21" r:id="rId12"/>
    <sheet name="AUXILIAR DE LIMPEZA S INS" sheetId="64" r:id="rId13"/>
    <sheet name="AUXILIAR DE LIMPEZA C IN 40" sheetId="65" r:id="rId14"/>
    <sheet name="AUX LIM 12X36 S INS" sheetId="66" r:id="rId15"/>
    <sheet name="AUX LIM 12X36 C INS 20%" sheetId="67" r:id="rId16"/>
    <sheet name="AUX LIM 12X36 C INS 40%" sheetId="68" r:id="rId17"/>
    <sheet name="AUX LIM 12X36 N SEM INS" sheetId="69" r:id="rId18"/>
    <sheet name="AUX LIM 12X36 N COM 20%" sheetId="70" r:id="rId19"/>
    <sheet name="AUX LIM 12X36 N COM 40%" sheetId="71" r:id="rId20"/>
    <sheet name="VARREDEIRA" sheetId="72" state="hidden" r:id="rId21"/>
    <sheet name="GARI-VARREDEIRA-CARRINHEIRO" sheetId="73" r:id="rId22"/>
    <sheet name="COLETOR DE LIXO" sheetId="74" r:id="rId23"/>
    <sheet name="AGENTE DE FISCALIZAÇÃO DE RUA" sheetId="75" r:id="rId24"/>
    <sheet name="JARDINEIRO" sheetId="76" r:id="rId25"/>
    <sheet name="CONTINUO" sheetId="77" r:id="rId26"/>
    <sheet name="TECNICO RX" sheetId="78" r:id="rId27"/>
    <sheet name="TECNICO RX NOITE" sheetId="82" r:id="rId28"/>
    <sheet name="TELEFONISTA " sheetId="79" r:id="rId29"/>
    <sheet name="MONITOR DE TRANSPORTES" sheetId="22" r:id="rId30"/>
    <sheet name="MOTORISTA DE CAMINHÃO" sheetId="23" r:id="rId31"/>
    <sheet name="MOTORISTA DE CARRO" sheetId="54" r:id="rId32"/>
    <sheet name="MOTORISTA DE ÔNIBUS" sheetId="55" r:id="rId33"/>
    <sheet name="MOTORISTA DE AMBULANCIA" sheetId="80" r:id="rId34"/>
    <sheet name="MOTORISTA DE AMBULANCIA NOITE" sheetId="81" r:id="rId35"/>
    <sheet name="PORTEIRO" sheetId="25" r:id="rId36"/>
    <sheet name="PORTEIRO 12x36" sheetId="51" r:id="rId37"/>
    <sheet name="PORTEIRO NOTURNO12X36" sheetId="52" r:id="rId38"/>
    <sheet name="FARMACEUTICO" sheetId="26" r:id="rId39"/>
    <sheet name="TECNICO LABORATORIO" sheetId="35" r:id="rId40"/>
    <sheet name="TECNICO LAB 12X36" sheetId="84" r:id="rId41"/>
    <sheet name="TECNICO LAB 12X36 N" sheetId="85" r:id="rId42"/>
    <sheet name="ENFERMEIRO DIURNO" sheetId="101" r:id="rId43"/>
    <sheet name="ENFERMEIRO NOITE" sheetId="86" r:id="rId44"/>
    <sheet name="FISIOTERAPEUTA" sheetId="87" r:id="rId45"/>
    <sheet name="TEC ENFERM 12X36" sheetId="88" r:id="rId46"/>
    <sheet name="TEC ENFERM 12X36 N" sheetId="89" r:id="rId47"/>
    <sheet name="COZINHEIRO" sheetId="56" r:id="rId48"/>
    <sheet name="COZINHEIRO 12X36 DIA" sheetId="63" r:id="rId49"/>
    <sheet name="AUX SAUDE BUCAL" sheetId="90" r:id="rId50"/>
    <sheet name="TEC SAUDE BUCAL" sheetId="91" r:id="rId51"/>
    <sheet name="ATENDENTE DE FARMACIA" sheetId="92" r:id="rId52"/>
    <sheet name="MOTORISTA DE LIXO" sheetId="94" r:id="rId53"/>
    <sheet name="ROÇADOR" sheetId="95" r:id="rId54"/>
    <sheet name="SUPERVISOR" sheetId="96" r:id="rId55"/>
    <sheet name="ENCARREGADO" sheetId="97" r:id="rId56"/>
    <sheet name="ASS SOCIAL" sheetId="98" r:id="rId57"/>
    <sheet name="BIOQUIMICO" sheetId="37" r:id="rId58"/>
    <sheet name="BIOQUIMICO N" sheetId="100" r:id="rId59"/>
    <sheet name="DENTISTA" sheetId="102" r:id="rId60"/>
    <sheet name="FONOAUDIOLOGO" sheetId="103" r:id="rId61"/>
    <sheet name="NUTRICIONISTA" sheetId="104" r:id="rId62"/>
    <sheet name="PSICOLOGO" sheetId="105" r:id="rId63"/>
    <sheet name="TERAPEUTA" sheetId="106" r:id="rId64"/>
    <sheet name="MEDICO CLINICO 20H" sheetId="107" r:id="rId65"/>
    <sheet name="MEDICO CLINICO 40H" sheetId="108" r:id="rId66"/>
    <sheet name="MEDICO ESP" sheetId="109" r:id="rId67"/>
    <sheet name="PLANTONISTA" sheetId="111" r:id="rId68"/>
    <sheet name="OBRAS 1" sheetId="112" r:id="rId69"/>
    <sheet name="OBRAS AJUDANTE" sheetId="113" r:id="rId70"/>
    <sheet name="ENGº JÚNIOR" sheetId="114" r:id="rId71"/>
    <sheet name="ENGº PLENO" sheetId="115" r:id="rId72"/>
    <sheet name="ENG° SENIOR" sheetId="116" r:id="rId73"/>
    <sheet name="TEC INFORMATICA" sheetId="117" r:id="rId74"/>
  </sheets>
  <definedNames>
    <definedName name="_xlnm.Print_Area" localSheetId="5">'AUX ADM 12X36 DIURNO'!$A$1:$J$87</definedName>
    <definedName name="_xlnm.Print_Area" localSheetId="4">'AUXILIAR ADMINISTRATIVO'!$A$1:$J$87</definedName>
    <definedName name="_xlnm.Print_Area" localSheetId="64">'MEDICO CLINICO 20H'!$A$1:$J$88</definedName>
    <definedName name="_xlnm.Print_Area" localSheetId="66">'MEDICO ESP'!$A$1:$J$88</definedName>
    <definedName name="_xlnm.Print_Area" localSheetId="62">PSICOLOGO!$A$1:$J$88</definedName>
    <definedName name="_xlnm.Print_Area" localSheetId="3">'REG. DE TRIBUTAÇÃO'!$B$4:$K$42</definedName>
    <definedName name="_xlnm.Print_Area" localSheetId="27">'TECNICO RX NOITE'!$A$1:$J$87</definedName>
  </definedNames>
  <calcPr calcId="191029"/>
</workbook>
</file>

<file path=xl/calcChain.xml><?xml version="1.0" encoding="utf-8"?>
<calcChain xmlns="http://schemas.openxmlformats.org/spreadsheetml/2006/main">
  <c r="F80" i="4" l="1"/>
  <c r="H86" i="117"/>
  <c r="H84" i="117"/>
  <c r="H83" i="117"/>
  <c r="H81" i="117"/>
  <c r="H80" i="117"/>
  <c r="H79" i="117"/>
  <c r="H78" i="117"/>
  <c r="H77" i="117"/>
  <c r="H74" i="117"/>
  <c r="H73" i="117"/>
  <c r="E67" i="117"/>
  <c r="H66" i="117"/>
  <c r="H65" i="117"/>
  <c r="H64" i="117"/>
  <c r="H62" i="117"/>
  <c r="H60" i="117"/>
  <c r="H59" i="117"/>
  <c r="H58" i="117"/>
  <c r="H56" i="117"/>
  <c r="H55" i="117"/>
  <c r="H54" i="117"/>
  <c r="H53" i="117"/>
  <c r="H52" i="117"/>
  <c r="H51" i="117"/>
  <c r="H50" i="117"/>
  <c r="H49" i="117"/>
  <c r="H46" i="117"/>
  <c r="H45" i="117"/>
  <c r="H44" i="117"/>
  <c r="H43" i="117"/>
  <c r="H42" i="117"/>
  <c r="H41" i="117"/>
  <c r="H40" i="117"/>
  <c r="E37" i="117"/>
  <c r="H36" i="117"/>
  <c r="H33" i="117"/>
  <c r="H30" i="117"/>
  <c r="E30" i="117"/>
  <c r="H29" i="117"/>
  <c r="H28" i="117"/>
  <c r="H27" i="117"/>
  <c r="H26" i="117"/>
  <c r="H25" i="117"/>
  <c r="H24" i="117"/>
  <c r="H23" i="117"/>
  <c r="H22" i="117"/>
  <c r="H20" i="117"/>
  <c r="H19" i="117"/>
  <c r="H18" i="117"/>
  <c r="H17" i="117"/>
  <c r="E13" i="117"/>
  <c r="E12" i="117"/>
  <c r="H86" i="116"/>
  <c r="H84" i="116"/>
  <c r="H83" i="116"/>
  <c r="H81" i="116"/>
  <c r="H80" i="116"/>
  <c r="H79" i="116"/>
  <c r="H78" i="116"/>
  <c r="H77" i="116"/>
  <c r="H74" i="116"/>
  <c r="H73" i="116"/>
  <c r="E67" i="116"/>
  <c r="H66" i="116"/>
  <c r="H65" i="116"/>
  <c r="H64" i="116"/>
  <c r="H62" i="116"/>
  <c r="H60" i="116"/>
  <c r="H59" i="116"/>
  <c r="H58" i="116"/>
  <c r="H56" i="116"/>
  <c r="H55" i="116"/>
  <c r="H54" i="116"/>
  <c r="H53" i="116"/>
  <c r="H52" i="116"/>
  <c r="H51" i="116"/>
  <c r="H50" i="116"/>
  <c r="H49" i="116"/>
  <c r="H46" i="116"/>
  <c r="H45" i="116"/>
  <c r="H44" i="116"/>
  <c r="H43" i="116"/>
  <c r="H42" i="116"/>
  <c r="H41" i="116"/>
  <c r="H40" i="116"/>
  <c r="E37" i="116"/>
  <c r="H36" i="116"/>
  <c r="H33" i="116"/>
  <c r="H30" i="116"/>
  <c r="E30" i="116"/>
  <c r="H29" i="116"/>
  <c r="H28" i="116"/>
  <c r="H27" i="116"/>
  <c r="H26" i="116"/>
  <c r="H25" i="116"/>
  <c r="H24" i="116"/>
  <c r="H23" i="116"/>
  <c r="H22" i="116"/>
  <c r="H20" i="116"/>
  <c r="H19" i="116"/>
  <c r="H18" i="116"/>
  <c r="H17" i="116"/>
  <c r="E13" i="116"/>
  <c r="E12" i="116"/>
  <c r="E11" i="116"/>
  <c r="E10" i="116"/>
  <c r="H86" i="115"/>
  <c r="H84" i="115"/>
  <c r="H83" i="115"/>
  <c r="H81" i="115"/>
  <c r="H80" i="115"/>
  <c r="H79" i="115"/>
  <c r="H78" i="115"/>
  <c r="H77" i="115"/>
  <c r="H74" i="115"/>
  <c r="H73" i="115"/>
  <c r="E67" i="115"/>
  <c r="H66" i="115"/>
  <c r="H65" i="115"/>
  <c r="H64" i="115"/>
  <c r="H62" i="115"/>
  <c r="H60" i="115"/>
  <c r="H59" i="115"/>
  <c r="H58" i="115"/>
  <c r="H56" i="115"/>
  <c r="H55" i="115"/>
  <c r="H54" i="115"/>
  <c r="H53" i="115"/>
  <c r="H52" i="115"/>
  <c r="H51" i="115"/>
  <c r="H50" i="115"/>
  <c r="H49" i="115"/>
  <c r="H46" i="115"/>
  <c r="H45" i="115"/>
  <c r="H44" i="115"/>
  <c r="H43" i="115"/>
  <c r="H42" i="115"/>
  <c r="H41" i="115"/>
  <c r="H40" i="115"/>
  <c r="E37" i="115"/>
  <c r="H36" i="115"/>
  <c r="H33" i="115"/>
  <c r="H30" i="115"/>
  <c r="E30" i="115"/>
  <c r="H29" i="115"/>
  <c r="H28" i="115"/>
  <c r="H27" i="115"/>
  <c r="H26" i="115"/>
  <c r="H25" i="115"/>
  <c r="H24" i="115"/>
  <c r="H23" i="115"/>
  <c r="H22" i="115"/>
  <c r="H20" i="115"/>
  <c r="H19" i="115"/>
  <c r="H18" i="115"/>
  <c r="H17" i="115"/>
  <c r="E13" i="115"/>
  <c r="E12" i="115"/>
  <c r="E11" i="115"/>
  <c r="E10" i="115"/>
  <c r="H86" i="114"/>
  <c r="H84" i="114"/>
  <c r="H83" i="114"/>
  <c r="H81" i="114"/>
  <c r="H80" i="114"/>
  <c r="H79" i="114"/>
  <c r="H78" i="114"/>
  <c r="H77" i="114"/>
  <c r="H74" i="114"/>
  <c r="H73" i="114"/>
  <c r="E67" i="114"/>
  <c r="H66" i="114"/>
  <c r="H65" i="114"/>
  <c r="H64" i="114"/>
  <c r="H62" i="114"/>
  <c r="H60" i="114"/>
  <c r="H59" i="114"/>
  <c r="H58" i="114"/>
  <c r="H56" i="114"/>
  <c r="H55" i="114"/>
  <c r="H54" i="114"/>
  <c r="H53" i="114"/>
  <c r="H52" i="114"/>
  <c r="H51" i="114"/>
  <c r="H50" i="114"/>
  <c r="H49" i="114"/>
  <c r="H46" i="114"/>
  <c r="H45" i="114"/>
  <c r="H44" i="114"/>
  <c r="H43" i="114"/>
  <c r="H42" i="114"/>
  <c r="H41" i="114"/>
  <c r="H40" i="114"/>
  <c r="E37" i="114"/>
  <c r="H36" i="114"/>
  <c r="H33" i="114"/>
  <c r="H30" i="114"/>
  <c r="E30" i="114"/>
  <c r="H29" i="114"/>
  <c r="H28" i="114"/>
  <c r="H27" i="114"/>
  <c r="H26" i="114"/>
  <c r="H25" i="114"/>
  <c r="H24" i="114"/>
  <c r="H23" i="114"/>
  <c r="H22" i="114"/>
  <c r="H20" i="114"/>
  <c r="H19" i="114"/>
  <c r="H18" i="114"/>
  <c r="H17" i="114"/>
  <c r="E13" i="114"/>
  <c r="E12" i="114"/>
  <c r="E11" i="114"/>
  <c r="E10" i="114"/>
  <c r="H86" i="113"/>
  <c r="H84" i="113"/>
  <c r="H83" i="113"/>
  <c r="H81" i="113"/>
  <c r="H80" i="113"/>
  <c r="H79" i="113"/>
  <c r="H78" i="113"/>
  <c r="H77" i="113"/>
  <c r="H74" i="113"/>
  <c r="H73" i="113"/>
  <c r="E67" i="113"/>
  <c r="H66" i="113"/>
  <c r="H65" i="113"/>
  <c r="H64" i="113"/>
  <c r="H62" i="113"/>
  <c r="H60" i="113"/>
  <c r="H59" i="113"/>
  <c r="H58" i="113"/>
  <c r="H56" i="113"/>
  <c r="H55" i="113"/>
  <c r="H54" i="113"/>
  <c r="H53" i="113"/>
  <c r="H52" i="113"/>
  <c r="H51" i="113"/>
  <c r="H50" i="113"/>
  <c r="H49" i="113"/>
  <c r="H46" i="113"/>
  <c r="H45" i="113"/>
  <c r="H44" i="113"/>
  <c r="H43" i="113"/>
  <c r="H42" i="113"/>
  <c r="H41" i="113"/>
  <c r="H40" i="113"/>
  <c r="E37" i="113"/>
  <c r="H36" i="113"/>
  <c r="H33" i="113"/>
  <c r="H32" i="113"/>
  <c r="H30" i="113"/>
  <c r="E30" i="113"/>
  <c r="H29" i="113"/>
  <c r="H28" i="113"/>
  <c r="H27" i="113"/>
  <c r="H26" i="113"/>
  <c r="H25" i="113"/>
  <c r="H24" i="113"/>
  <c r="H23" i="113"/>
  <c r="H22" i="113"/>
  <c r="H20" i="113"/>
  <c r="H19" i="113"/>
  <c r="H18" i="113"/>
  <c r="H17" i="113"/>
  <c r="E13" i="113"/>
  <c r="E12" i="113"/>
  <c r="E11" i="113"/>
  <c r="E10" i="113"/>
  <c r="H86" i="112"/>
  <c r="H84" i="112"/>
  <c r="H83" i="112"/>
  <c r="H81" i="112"/>
  <c r="H80" i="112"/>
  <c r="H79" i="112"/>
  <c r="H78" i="112"/>
  <c r="H77" i="112"/>
  <c r="H74" i="112"/>
  <c r="H73" i="112"/>
  <c r="E67" i="112"/>
  <c r="H66" i="112"/>
  <c r="H65" i="112"/>
  <c r="H64" i="112"/>
  <c r="H62" i="112"/>
  <c r="H60" i="112"/>
  <c r="H59" i="112"/>
  <c r="H58" i="112"/>
  <c r="H56" i="112"/>
  <c r="H55" i="112"/>
  <c r="H54" i="112"/>
  <c r="H53" i="112"/>
  <c r="H52" i="112"/>
  <c r="H51" i="112"/>
  <c r="H50" i="112"/>
  <c r="H49" i="112"/>
  <c r="H46" i="112"/>
  <c r="H45" i="112"/>
  <c r="H44" i="112"/>
  <c r="H43" i="112"/>
  <c r="H42" i="112"/>
  <c r="H41" i="112"/>
  <c r="H40" i="112"/>
  <c r="E37" i="112"/>
  <c r="H36" i="112"/>
  <c r="H33" i="112"/>
  <c r="H32" i="112"/>
  <c r="H30" i="112"/>
  <c r="E30" i="112"/>
  <c r="H29" i="112"/>
  <c r="H28" i="112"/>
  <c r="H27" i="112"/>
  <c r="H26" i="112"/>
  <c r="H25" i="112"/>
  <c r="H24" i="112"/>
  <c r="H23" i="112"/>
  <c r="H22" i="112"/>
  <c r="H20" i="112"/>
  <c r="H19" i="112"/>
  <c r="H18" i="112"/>
  <c r="H17" i="112"/>
  <c r="E13" i="112"/>
  <c r="E12" i="112"/>
  <c r="E11" i="112"/>
  <c r="E10" i="112"/>
  <c r="H86" i="111"/>
  <c r="H84" i="111"/>
  <c r="H83" i="111"/>
  <c r="H81" i="111"/>
  <c r="H80" i="111"/>
  <c r="H79" i="111"/>
  <c r="H78" i="111"/>
  <c r="H77" i="111"/>
  <c r="H74" i="111"/>
  <c r="H73" i="111"/>
  <c r="H72" i="111"/>
  <c r="H71" i="111"/>
  <c r="E67" i="111"/>
  <c r="H66" i="111"/>
  <c r="H65" i="111"/>
  <c r="H64" i="111"/>
  <c r="H62" i="111"/>
  <c r="H59" i="111"/>
  <c r="H56" i="111"/>
  <c r="H55" i="111"/>
  <c r="H49" i="111"/>
  <c r="H46" i="111"/>
  <c r="H44" i="111"/>
  <c r="H42" i="111"/>
  <c r="H41" i="111"/>
  <c r="E37" i="111"/>
  <c r="H36" i="111"/>
  <c r="H30" i="111"/>
  <c r="E30" i="111"/>
  <c r="H22" i="111"/>
  <c r="H20" i="111"/>
  <c r="H19" i="111"/>
  <c r="H18" i="111"/>
  <c r="H17" i="111"/>
  <c r="E13" i="111"/>
  <c r="E12" i="111"/>
  <c r="E10" i="111"/>
  <c r="H86" i="109"/>
  <c r="H84" i="109"/>
  <c r="H83" i="109"/>
  <c r="H81" i="109"/>
  <c r="H80" i="109"/>
  <c r="H79" i="109"/>
  <c r="H78" i="109"/>
  <c r="H77" i="109"/>
  <c r="H74" i="109"/>
  <c r="H73" i="109"/>
  <c r="H72" i="109"/>
  <c r="H71" i="109"/>
  <c r="E67" i="109"/>
  <c r="H66" i="109"/>
  <c r="H65" i="109"/>
  <c r="H64" i="109"/>
  <c r="H62" i="109"/>
  <c r="H60" i="109"/>
  <c r="H59" i="109"/>
  <c r="H58" i="109"/>
  <c r="H56" i="109"/>
  <c r="H55" i="109"/>
  <c r="H54" i="109"/>
  <c r="H53" i="109"/>
  <c r="H52" i="109"/>
  <c r="H51" i="109"/>
  <c r="H50" i="109"/>
  <c r="H49" i="109"/>
  <c r="H46" i="109"/>
  <c r="H45" i="109"/>
  <c r="H44" i="109"/>
  <c r="H43" i="109"/>
  <c r="H42" i="109"/>
  <c r="H41" i="109"/>
  <c r="H40" i="109"/>
  <c r="E37" i="109"/>
  <c r="H36" i="109"/>
  <c r="H30" i="109"/>
  <c r="E30" i="109"/>
  <c r="H29" i="109"/>
  <c r="H28" i="109"/>
  <c r="H27" i="109"/>
  <c r="H26" i="109"/>
  <c r="H25" i="109"/>
  <c r="H24" i="109"/>
  <c r="H23" i="109"/>
  <c r="H22" i="109"/>
  <c r="H20" i="109"/>
  <c r="H19" i="109"/>
  <c r="H18" i="109"/>
  <c r="H17" i="109"/>
  <c r="E13" i="109"/>
  <c r="E12" i="109"/>
  <c r="E11" i="109"/>
  <c r="E10" i="109"/>
  <c r="H86" i="108"/>
  <c r="H84" i="108"/>
  <c r="H83" i="108"/>
  <c r="H81" i="108"/>
  <c r="H80" i="108"/>
  <c r="H79" i="108"/>
  <c r="H78" i="108"/>
  <c r="H77" i="108"/>
  <c r="H74" i="108"/>
  <c r="H73" i="108"/>
  <c r="H72" i="108"/>
  <c r="H71" i="108"/>
  <c r="E67" i="108"/>
  <c r="H66" i="108"/>
  <c r="H65" i="108"/>
  <c r="H64" i="108"/>
  <c r="H62" i="108"/>
  <c r="H60" i="108"/>
  <c r="H59" i="108"/>
  <c r="H58" i="108"/>
  <c r="H56" i="108"/>
  <c r="H55" i="108"/>
  <c r="H54" i="108"/>
  <c r="H53" i="108"/>
  <c r="H52" i="108"/>
  <c r="H51" i="108"/>
  <c r="H50" i="108"/>
  <c r="H49" i="108"/>
  <c r="H46" i="108"/>
  <c r="H45" i="108"/>
  <c r="H44" i="108"/>
  <c r="H43" i="108"/>
  <c r="H42" i="108"/>
  <c r="H41" i="108"/>
  <c r="H40" i="108"/>
  <c r="E37" i="108"/>
  <c r="H36" i="108"/>
  <c r="H30" i="108"/>
  <c r="E30" i="108"/>
  <c r="H29" i="108"/>
  <c r="H28" i="108"/>
  <c r="H27" i="108"/>
  <c r="H26" i="108"/>
  <c r="H25" i="108"/>
  <c r="H24" i="108"/>
  <c r="H23" i="108"/>
  <c r="H22" i="108"/>
  <c r="H20" i="108"/>
  <c r="H19" i="108"/>
  <c r="H18" i="108"/>
  <c r="H17" i="108"/>
  <c r="E13" i="108"/>
  <c r="E12" i="108"/>
  <c r="E10" i="108"/>
  <c r="H86" i="107"/>
  <c r="H84" i="107"/>
  <c r="H83" i="107"/>
  <c r="H81" i="107"/>
  <c r="H80" i="107"/>
  <c r="H79" i="107"/>
  <c r="H78" i="107"/>
  <c r="H77" i="107"/>
  <c r="H74" i="107"/>
  <c r="H73" i="107"/>
  <c r="H72" i="107"/>
  <c r="H71" i="107"/>
  <c r="E67" i="107"/>
  <c r="H66" i="107"/>
  <c r="H65" i="107"/>
  <c r="H64" i="107"/>
  <c r="H62" i="107"/>
  <c r="H60" i="107"/>
  <c r="H59" i="107"/>
  <c r="H58" i="107"/>
  <c r="H56" i="107"/>
  <c r="H55" i="107"/>
  <c r="H54" i="107"/>
  <c r="H53" i="107"/>
  <c r="H52" i="107"/>
  <c r="H51" i="107"/>
  <c r="H50" i="107"/>
  <c r="H49" i="107"/>
  <c r="H46" i="107"/>
  <c r="H45" i="107"/>
  <c r="H44" i="107"/>
  <c r="H43" i="107"/>
  <c r="H42" i="107"/>
  <c r="H41" i="107"/>
  <c r="H40" i="107"/>
  <c r="E37" i="107"/>
  <c r="H36" i="107"/>
  <c r="H30" i="107"/>
  <c r="E30" i="107"/>
  <c r="H29" i="107"/>
  <c r="H28" i="107"/>
  <c r="H27" i="107"/>
  <c r="H26" i="107"/>
  <c r="H25" i="107"/>
  <c r="H24" i="107"/>
  <c r="H23" i="107"/>
  <c r="H22" i="107"/>
  <c r="H20" i="107"/>
  <c r="H19" i="107"/>
  <c r="H18" i="107"/>
  <c r="H17" i="107"/>
  <c r="E13" i="107"/>
  <c r="E12" i="107"/>
  <c r="E10" i="107"/>
  <c r="H86" i="106"/>
  <c r="H84" i="106"/>
  <c r="H83" i="106"/>
  <c r="H81" i="106"/>
  <c r="H80" i="106"/>
  <c r="H79" i="106"/>
  <c r="H78" i="106"/>
  <c r="H77" i="106"/>
  <c r="H74" i="106"/>
  <c r="H73" i="106"/>
  <c r="H72" i="106"/>
  <c r="H71" i="106"/>
  <c r="E67" i="106"/>
  <c r="H66" i="106"/>
  <c r="H65" i="106"/>
  <c r="H64" i="106"/>
  <c r="H62" i="106"/>
  <c r="H60" i="106"/>
  <c r="H59" i="106"/>
  <c r="H58" i="106"/>
  <c r="H56" i="106"/>
  <c r="H55" i="106"/>
  <c r="H54" i="106"/>
  <c r="H53" i="106"/>
  <c r="H52" i="106"/>
  <c r="H51" i="106"/>
  <c r="H50" i="106"/>
  <c r="H49" i="106"/>
  <c r="H46" i="106"/>
  <c r="H45" i="106"/>
  <c r="H44" i="106"/>
  <c r="H43" i="106"/>
  <c r="H42" i="106"/>
  <c r="H41" i="106"/>
  <c r="H40" i="106"/>
  <c r="E37" i="106"/>
  <c r="H36" i="106"/>
  <c r="H30" i="106"/>
  <c r="E30" i="106"/>
  <c r="H29" i="106"/>
  <c r="H28" i="106"/>
  <c r="H27" i="106"/>
  <c r="H26" i="106"/>
  <c r="H25" i="106"/>
  <c r="H24" i="106"/>
  <c r="H23" i="106"/>
  <c r="H22" i="106"/>
  <c r="H20" i="106"/>
  <c r="H19" i="106"/>
  <c r="H18" i="106"/>
  <c r="H17" i="106"/>
  <c r="E13" i="106"/>
  <c r="E12" i="106"/>
  <c r="E10" i="106"/>
  <c r="H86" i="105"/>
  <c r="H84" i="105"/>
  <c r="H83" i="105"/>
  <c r="H81" i="105"/>
  <c r="H80" i="105"/>
  <c r="H79" i="105"/>
  <c r="H78" i="105"/>
  <c r="H77" i="105"/>
  <c r="H74" i="105"/>
  <c r="H73" i="105"/>
  <c r="H72" i="105"/>
  <c r="H71" i="105"/>
  <c r="E67" i="105"/>
  <c r="H66" i="105"/>
  <c r="H65" i="105"/>
  <c r="H64" i="105"/>
  <c r="H62" i="105"/>
  <c r="H60" i="105"/>
  <c r="H59" i="105"/>
  <c r="H58" i="105"/>
  <c r="H56" i="105"/>
  <c r="H55" i="105"/>
  <c r="H54" i="105"/>
  <c r="H53" i="105"/>
  <c r="H52" i="105"/>
  <c r="H51" i="105"/>
  <c r="H50" i="105"/>
  <c r="H49" i="105"/>
  <c r="H46" i="105"/>
  <c r="H45" i="105"/>
  <c r="H44" i="105"/>
  <c r="H43" i="105"/>
  <c r="H42" i="105"/>
  <c r="H41" i="105"/>
  <c r="H40" i="105"/>
  <c r="E37" i="105"/>
  <c r="H36" i="105"/>
  <c r="H30" i="105"/>
  <c r="E30" i="105"/>
  <c r="H29" i="105"/>
  <c r="H28" i="105"/>
  <c r="H27" i="105"/>
  <c r="H26" i="105"/>
  <c r="H25" i="105"/>
  <c r="H24" i="105"/>
  <c r="H23" i="105"/>
  <c r="H22" i="105"/>
  <c r="H20" i="105"/>
  <c r="H19" i="105"/>
  <c r="H18" i="105"/>
  <c r="H17" i="105"/>
  <c r="E13" i="105"/>
  <c r="E12" i="105"/>
  <c r="E10" i="105"/>
  <c r="H86" i="104"/>
  <c r="H84" i="104"/>
  <c r="H83" i="104"/>
  <c r="H81" i="104"/>
  <c r="H80" i="104"/>
  <c r="H79" i="104"/>
  <c r="H78" i="104"/>
  <c r="H77" i="104"/>
  <c r="H74" i="104"/>
  <c r="H73" i="104"/>
  <c r="H72" i="104"/>
  <c r="H71" i="104"/>
  <c r="E67" i="104"/>
  <c r="H66" i="104"/>
  <c r="H65" i="104"/>
  <c r="H64" i="104"/>
  <c r="H62" i="104"/>
  <c r="H60" i="104"/>
  <c r="H59" i="104"/>
  <c r="H58" i="104"/>
  <c r="H56" i="104"/>
  <c r="H55" i="104"/>
  <c r="H54" i="104"/>
  <c r="H53" i="104"/>
  <c r="H52" i="104"/>
  <c r="H51" i="104"/>
  <c r="H50" i="104"/>
  <c r="H49" i="104"/>
  <c r="H46" i="104"/>
  <c r="H45" i="104"/>
  <c r="H44" i="104"/>
  <c r="H43" i="104"/>
  <c r="H42" i="104"/>
  <c r="H41" i="104"/>
  <c r="H40" i="104"/>
  <c r="E37" i="104"/>
  <c r="H36" i="104"/>
  <c r="H30" i="104"/>
  <c r="E30" i="104"/>
  <c r="H29" i="104"/>
  <c r="H28" i="104"/>
  <c r="H27" i="104"/>
  <c r="H26" i="104"/>
  <c r="H25" i="104"/>
  <c r="H24" i="104"/>
  <c r="H23" i="104"/>
  <c r="H22" i="104"/>
  <c r="H20" i="104"/>
  <c r="H19" i="104"/>
  <c r="H18" i="104"/>
  <c r="H17" i="104"/>
  <c r="E13" i="104"/>
  <c r="E12" i="104"/>
  <c r="E10" i="104"/>
  <c r="H86" i="103"/>
  <c r="H84" i="103"/>
  <c r="H83" i="103"/>
  <c r="H81" i="103"/>
  <c r="H80" i="103"/>
  <c r="H79" i="103"/>
  <c r="H78" i="103"/>
  <c r="H77" i="103"/>
  <c r="H74" i="103"/>
  <c r="H73" i="103"/>
  <c r="H72" i="103"/>
  <c r="H71" i="103"/>
  <c r="E67" i="103"/>
  <c r="H66" i="103"/>
  <c r="H65" i="103"/>
  <c r="H64" i="103"/>
  <c r="H62" i="103"/>
  <c r="H60" i="103"/>
  <c r="H59" i="103"/>
  <c r="H58" i="103"/>
  <c r="H56" i="103"/>
  <c r="H55" i="103"/>
  <c r="H54" i="103"/>
  <c r="H53" i="103"/>
  <c r="H52" i="103"/>
  <c r="H51" i="103"/>
  <c r="H50" i="103"/>
  <c r="H49" i="103"/>
  <c r="H46" i="103"/>
  <c r="H45" i="103"/>
  <c r="H44" i="103"/>
  <c r="H43" i="103"/>
  <c r="H42" i="103"/>
  <c r="H41" i="103"/>
  <c r="H40" i="103"/>
  <c r="E37" i="103"/>
  <c r="H36" i="103"/>
  <c r="H32" i="103"/>
  <c r="H30" i="103"/>
  <c r="E30" i="103"/>
  <c r="H29" i="103"/>
  <c r="H28" i="103"/>
  <c r="H27" i="103"/>
  <c r="H26" i="103"/>
  <c r="H25" i="103"/>
  <c r="H24" i="103"/>
  <c r="H23" i="103"/>
  <c r="H22" i="103"/>
  <c r="H20" i="103"/>
  <c r="H19" i="103"/>
  <c r="H18" i="103"/>
  <c r="H17" i="103"/>
  <c r="E13" i="103"/>
  <c r="E12" i="103"/>
  <c r="E10" i="103"/>
  <c r="H86" i="102"/>
  <c r="H84" i="102"/>
  <c r="H83" i="102"/>
  <c r="H81" i="102"/>
  <c r="H80" i="102"/>
  <c r="H79" i="102"/>
  <c r="H78" i="102"/>
  <c r="H77" i="102"/>
  <c r="H74" i="102"/>
  <c r="H73" i="102"/>
  <c r="H72" i="102"/>
  <c r="H71" i="102"/>
  <c r="E67" i="102"/>
  <c r="H66" i="102"/>
  <c r="H65" i="102"/>
  <c r="H64" i="102"/>
  <c r="H62" i="102"/>
  <c r="H60" i="102"/>
  <c r="H59" i="102"/>
  <c r="H58" i="102"/>
  <c r="H56" i="102"/>
  <c r="H55" i="102"/>
  <c r="H54" i="102"/>
  <c r="H53" i="102"/>
  <c r="H52" i="102"/>
  <c r="H51" i="102"/>
  <c r="H50" i="102"/>
  <c r="H49" i="102"/>
  <c r="H46" i="102"/>
  <c r="H45" i="102"/>
  <c r="H44" i="102"/>
  <c r="H43" i="102"/>
  <c r="H42" i="102"/>
  <c r="H41" i="102"/>
  <c r="H40" i="102"/>
  <c r="E37" i="102"/>
  <c r="H36" i="102"/>
  <c r="H30" i="102"/>
  <c r="E30" i="102"/>
  <c r="H29" i="102"/>
  <c r="H28" i="102"/>
  <c r="H27" i="102"/>
  <c r="H26" i="102"/>
  <c r="H25" i="102"/>
  <c r="H24" i="102"/>
  <c r="H23" i="102"/>
  <c r="H22" i="102"/>
  <c r="H20" i="102"/>
  <c r="H19" i="102"/>
  <c r="H18" i="102"/>
  <c r="H17" i="102"/>
  <c r="E13" i="102"/>
  <c r="E12" i="102"/>
  <c r="E10" i="102"/>
  <c r="H86" i="100"/>
  <c r="H84" i="100"/>
  <c r="H83" i="100"/>
  <c r="H81" i="100"/>
  <c r="H80" i="100"/>
  <c r="H79" i="100"/>
  <c r="H78" i="100"/>
  <c r="H77" i="100"/>
  <c r="H74" i="100"/>
  <c r="H73" i="100"/>
  <c r="H72" i="100"/>
  <c r="H71" i="100"/>
  <c r="E67" i="100"/>
  <c r="H66" i="100"/>
  <c r="H65" i="100"/>
  <c r="H64" i="100"/>
  <c r="H62" i="100"/>
  <c r="H60" i="100"/>
  <c r="H59" i="100"/>
  <c r="H58" i="100"/>
  <c r="H56" i="100"/>
  <c r="H55" i="100"/>
  <c r="H54" i="100"/>
  <c r="H53" i="100"/>
  <c r="H52" i="100"/>
  <c r="H51" i="100"/>
  <c r="H50" i="100"/>
  <c r="H49" i="100"/>
  <c r="H46" i="100"/>
  <c r="H45" i="100"/>
  <c r="H44" i="100"/>
  <c r="H43" i="100"/>
  <c r="H42" i="100"/>
  <c r="H41" i="100"/>
  <c r="H40" i="100"/>
  <c r="E37" i="100"/>
  <c r="H36" i="100"/>
  <c r="H30" i="100"/>
  <c r="E30" i="100"/>
  <c r="H29" i="100"/>
  <c r="H28" i="100"/>
  <c r="H27" i="100"/>
  <c r="H26" i="100"/>
  <c r="H25" i="100"/>
  <c r="H24" i="100"/>
  <c r="H23" i="100"/>
  <c r="H22" i="100"/>
  <c r="H20" i="100"/>
  <c r="H19" i="100"/>
  <c r="H18" i="100"/>
  <c r="H17" i="100"/>
  <c r="E13" i="100"/>
  <c r="E12" i="100"/>
  <c r="E10" i="100"/>
  <c r="E9" i="100"/>
  <c r="E8" i="100"/>
  <c r="H86" i="37"/>
  <c r="H84" i="37"/>
  <c r="H83" i="37"/>
  <c r="H81" i="37"/>
  <c r="H80" i="37"/>
  <c r="H79" i="37"/>
  <c r="H78" i="37"/>
  <c r="H77" i="37"/>
  <c r="H74" i="37"/>
  <c r="H73" i="37"/>
  <c r="H72" i="37"/>
  <c r="H71" i="37"/>
  <c r="E67" i="37"/>
  <c r="H66" i="37"/>
  <c r="H65" i="37"/>
  <c r="H64" i="37"/>
  <c r="H62" i="37"/>
  <c r="H60" i="37"/>
  <c r="H59" i="37"/>
  <c r="H58" i="37"/>
  <c r="H56" i="37"/>
  <c r="H55" i="37"/>
  <c r="H54" i="37"/>
  <c r="H53" i="37"/>
  <c r="H52" i="37"/>
  <c r="H51" i="37"/>
  <c r="H50" i="37"/>
  <c r="H49" i="37"/>
  <c r="H46" i="37"/>
  <c r="H45" i="37"/>
  <c r="H44" i="37"/>
  <c r="H43" i="37"/>
  <c r="H42" i="37"/>
  <c r="H41" i="37"/>
  <c r="H40" i="37"/>
  <c r="E37" i="37"/>
  <c r="H36" i="37"/>
  <c r="H30" i="37"/>
  <c r="E30" i="37"/>
  <c r="H29" i="37"/>
  <c r="H28" i="37"/>
  <c r="H27" i="37"/>
  <c r="H26" i="37"/>
  <c r="H25" i="37"/>
  <c r="H24" i="37"/>
  <c r="H23" i="37"/>
  <c r="H22" i="37"/>
  <c r="H20" i="37"/>
  <c r="H19" i="37"/>
  <c r="H18" i="37"/>
  <c r="H17" i="37"/>
  <c r="E13" i="37"/>
  <c r="E12" i="37"/>
  <c r="H86" i="98"/>
  <c r="H84" i="98"/>
  <c r="H83" i="98"/>
  <c r="H81" i="98"/>
  <c r="H80" i="98"/>
  <c r="H79" i="98"/>
  <c r="H78" i="98"/>
  <c r="H77" i="98"/>
  <c r="H74" i="98"/>
  <c r="E67" i="98"/>
  <c r="H66" i="98"/>
  <c r="H65" i="98"/>
  <c r="H64" i="98"/>
  <c r="H62" i="98"/>
  <c r="H60" i="98"/>
  <c r="H59" i="98"/>
  <c r="H58" i="98"/>
  <c r="H56" i="98"/>
  <c r="H55" i="98"/>
  <c r="H54" i="98"/>
  <c r="H53" i="98"/>
  <c r="H52" i="98"/>
  <c r="H51" i="98"/>
  <c r="H50" i="98"/>
  <c r="H49" i="98"/>
  <c r="H46" i="98"/>
  <c r="H45" i="98"/>
  <c r="H44" i="98"/>
  <c r="H43" i="98"/>
  <c r="H42" i="98"/>
  <c r="H41" i="98"/>
  <c r="H40" i="98"/>
  <c r="E37" i="98"/>
  <c r="H36" i="98"/>
  <c r="H33" i="98"/>
  <c r="H32" i="98"/>
  <c r="H30" i="98"/>
  <c r="E30" i="98"/>
  <c r="H29" i="98"/>
  <c r="H28" i="98"/>
  <c r="H27" i="98"/>
  <c r="H26" i="98"/>
  <c r="H25" i="98"/>
  <c r="H24" i="98"/>
  <c r="H23" i="98"/>
  <c r="H22" i="98"/>
  <c r="H20" i="98"/>
  <c r="H19" i="98"/>
  <c r="H18" i="98"/>
  <c r="H17" i="98"/>
  <c r="E13" i="98"/>
  <c r="E12" i="98"/>
  <c r="H86" i="97"/>
  <c r="H84" i="97"/>
  <c r="H83" i="97"/>
  <c r="H81" i="97"/>
  <c r="H80" i="97"/>
  <c r="H79" i="97"/>
  <c r="H78" i="97"/>
  <c r="H77" i="97"/>
  <c r="H74" i="97"/>
  <c r="H73" i="97"/>
  <c r="E67" i="97"/>
  <c r="H66" i="97"/>
  <c r="H65" i="97"/>
  <c r="H64" i="97"/>
  <c r="H62" i="97"/>
  <c r="H60" i="97"/>
  <c r="H59" i="97"/>
  <c r="H58" i="97"/>
  <c r="H56" i="97"/>
  <c r="H55" i="97"/>
  <c r="H54" i="97"/>
  <c r="H53" i="97"/>
  <c r="H52" i="97"/>
  <c r="H51" i="97"/>
  <c r="H50" i="97"/>
  <c r="H49" i="97"/>
  <c r="H46" i="97"/>
  <c r="H45" i="97"/>
  <c r="H44" i="97"/>
  <c r="H43" i="97"/>
  <c r="H42" i="97"/>
  <c r="H41" i="97"/>
  <c r="H40" i="97"/>
  <c r="E37" i="97"/>
  <c r="H36" i="97"/>
  <c r="H33" i="97"/>
  <c r="H32" i="97"/>
  <c r="H30" i="97"/>
  <c r="E30" i="97"/>
  <c r="H29" i="97"/>
  <c r="H28" i="97"/>
  <c r="H27" i="97"/>
  <c r="H26" i="97"/>
  <c r="H25" i="97"/>
  <c r="H24" i="97"/>
  <c r="H23" i="97"/>
  <c r="H22" i="97"/>
  <c r="H20" i="97"/>
  <c r="H19" i="97"/>
  <c r="H18" i="97"/>
  <c r="H17" i="97"/>
  <c r="E13" i="97"/>
  <c r="E12" i="97"/>
  <c r="H86" i="96"/>
  <c r="H84" i="96"/>
  <c r="H83" i="96"/>
  <c r="H81" i="96"/>
  <c r="H80" i="96"/>
  <c r="H79" i="96"/>
  <c r="H78" i="96"/>
  <c r="H77" i="96"/>
  <c r="H74" i="96"/>
  <c r="H73" i="96"/>
  <c r="E67" i="96"/>
  <c r="H66" i="96"/>
  <c r="H65" i="96"/>
  <c r="H64" i="96"/>
  <c r="H62" i="96"/>
  <c r="H60" i="96"/>
  <c r="H59" i="96"/>
  <c r="H58" i="96"/>
  <c r="H56" i="96"/>
  <c r="H55" i="96"/>
  <c r="H54" i="96"/>
  <c r="H53" i="96"/>
  <c r="H52" i="96"/>
  <c r="H51" i="96"/>
  <c r="H50" i="96"/>
  <c r="H49" i="96"/>
  <c r="H46" i="96"/>
  <c r="H45" i="96"/>
  <c r="H44" i="96"/>
  <c r="H43" i="96"/>
  <c r="H42" i="96"/>
  <c r="H41" i="96"/>
  <c r="H40" i="96"/>
  <c r="E37" i="96"/>
  <c r="H36" i="96"/>
  <c r="H33" i="96"/>
  <c r="H32" i="96"/>
  <c r="H30" i="96"/>
  <c r="E30" i="96"/>
  <c r="H29" i="96"/>
  <c r="H28" i="96"/>
  <c r="H27" i="96"/>
  <c r="H26" i="96"/>
  <c r="H25" i="96"/>
  <c r="H24" i="96"/>
  <c r="H23" i="96"/>
  <c r="H22" i="96"/>
  <c r="H20" i="96"/>
  <c r="H19" i="96"/>
  <c r="H18" i="96"/>
  <c r="H17" i="96"/>
  <c r="E13" i="96"/>
  <c r="E12" i="96"/>
  <c r="H86" i="95"/>
  <c r="H84" i="95"/>
  <c r="H83" i="95"/>
  <c r="H81" i="95"/>
  <c r="H80" i="95"/>
  <c r="H79" i="95"/>
  <c r="H78" i="95"/>
  <c r="H77" i="95"/>
  <c r="H74" i="95"/>
  <c r="E67" i="95"/>
  <c r="H66" i="95"/>
  <c r="H65" i="95"/>
  <c r="H64" i="95"/>
  <c r="H62" i="95"/>
  <c r="H60" i="95"/>
  <c r="H59" i="95"/>
  <c r="H58" i="95"/>
  <c r="H56" i="95"/>
  <c r="H55" i="95"/>
  <c r="H54" i="95"/>
  <c r="H53" i="95"/>
  <c r="H52" i="95"/>
  <c r="H51" i="95"/>
  <c r="H50" i="95"/>
  <c r="H49" i="95"/>
  <c r="H46" i="95"/>
  <c r="H45" i="95"/>
  <c r="H44" i="95"/>
  <c r="H43" i="95"/>
  <c r="H42" i="95"/>
  <c r="H41" i="95"/>
  <c r="H40" i="95"/>
  <c r="E37" i="95"/>
  <c r="H36" i="95"/>
  <c r="H33" i="95"/>
  <c r="H32" i="95"/>
  <c r="H30" i="95"/>
  <c r="E30" i="95"/>
  <c r="H29" i="95"/>
  <c r="H28" i="95"/>
  <c r="H27" i="95"/>
  <c r="H26" i="95"/>
  <c r="H25" i="95"/>
  <c r="H24" i="95"/>
  <c r="H23" i="95"/>
  <c r="H22" i="95"/>
  <c r="H20" i="95"/>
  <c r="H19" i="95"/>
  <c r="H18" i="95"/>
  <c r="H17" i="95"/>
  <c r="E13" i="95"/>
  <c r="E12" i="95"/>
  <c r="E11" i="95"/>
  <c r="E7" i="95"/>
  <c r="H87" i="94"/>
  <c r="H85" i="94"/>
  <c r="H84" i="94"/>
  <c r="H82" i="94"/>
  <c r="H81" i="94"/>
  <c r="H80" i="94"/>
  <c r="H79" i="94"/>
  <c r="H78" i="94"/>
  <c r="H75" i="94"/>
  <c r="H72" i="94"/>
  <c r="E68" i="94"/>
  <c r="H67" i="94"/>
  <c r="H66" i="94"/>
  <c r="H65" i="94"/>
  <c r="H63" i="94"/>
  <c r="H61" i="94"/>
  <c r="H60" i="94"/>
  <c r="H59" i="94"/>
  <c r="H57" i="94"/>
  <c r="H56" i="94"/>
  <c r="H55" i="94"/>
  <c r="H54" i="94"/>
  <c r="H53" i="94"/>
  <c r="H52" i="94"/>
  <c r="H51" i="94"/>
  <c r="H50" i="94"/>
  <c r="H47" i="94"/>
  <c r="H46" i="94"/>
  <c r="H45" i="94"/>
  <c r="H44" i="94"/>
  <c r="H43" i="94"/>
  <c r="H42" i="94"/>
  <c r="H41" i="94"/>
  <c r="E38" i="94"/>
  <c r="H37" i="94"/>
  <c r="H33" i="94"/>
  <c r="H32" i="94"/>
  <c r="H30" i="94"/>
  <c r="E30" i="94"/>
  <c r="H29" i="94"/>
  <c r="H28" i="94"/>
  <c r="H27" i="94"/>
  <c r="H26" i="94"/>
  <c r="H25" i="94"/>
  <c r="H24" i="94"/>
  <c r="H23" i="94"/>
  <c r="H22" i="94"/>
  <c r="H20" i="94"/>
  <c r="H19" i="94"/>
  <c r="H18" i="94"/>
  <c r="H17" i="94"/>
  <c r="E13" i="94"/>
  <c r="E12" i="94"/>
  <c r="E11" i="94"/>
  <c r="H86" i="92"/>
  <c r="H84" i="92"/>
  <c r="H83" i="92"/>
  <c r="H81" i="92"/>
  <c r="H80" i="92"/>
  <c r="H79" i="92"/>
  <c r="H78" i="92"/>
  <c r="H77" i="92"/>
  <c r="H74" i="92"/>
  <c r="H73" i="92"/>
  <c r="H72" i="92"/>
  <c r="H71" i="92"/>
  <c r="E67" i="92"/>
  <c r="H66" i="92"/>
  <c r="H65" i="92"/>
  <c r="H64" i="92"/>
  <c r="H62" i="92"/>
  <c r="H60" i="92"/>
  <c r="H59" i="92"/>
  <c r="H58" i="92"/>
  <c r="H56" i="92"/>
  <c r="H55" i="92"/>
  <c r="H54" i="92"/>
  <c r="H53" i="92"/>
  <c r="H52" i="92"/>
  <c r="H51" i="92"/>
  <c r="H50" i="92"/>
  <c r="H49" i="92"/>
  <c r="H46" i="92"/>
  <c r="H45" i="92"/>
  <c r="H44" i="92"/>
  <c r="H43" i="92"/>
  <c r="H42" i="92"/>
  <c r="H41" i="92"/>
  <c r="H40" i="92"/>
  <c r="E37" i="92"/>
  <c r="H36" i="92"/>
  <c r="H33" i="92"/>
  <c r="H32" i="92"/>
  <c r="H30" i="92"/>
  <c r="E30" i="92"/>
  <c r="H29" i="92"/>
  <c r="H28" i="92"/>
  <c r="H27" i="92"/>
  <c r="H26" i="92"/>
  <c r="H25" i="92"/>
  <c r="H24" i="92"/>
  <c r="H23" i="92"/>
  <c r="H22" i="92"/>
  <c r="H20" i="92"/>
  <c r="H19" i="92"/>
  <c r="H18" i="92"/>
  <c r="H17" i="92"/>
  <c r="E13" i="92"/>
  <c r="E12" i="92"/>
  <c r="E11" i="92"/>
  <c r="H86" i="91"/>
  <c r="H84" i="91"/>
  <c r="H83" i="91"/>
  <c r="H81" i="91"/>
  <c r="H80" i="91"/>
  <c r="H79" i="91"/>
  <c r="H78" i="91"/>
  <c r="H77" i="91"/>
  <c r="H74" i="91"/>
  <c r="H73" i="91"/>
  <c r="H72" i="91"/>
  <c r="H71" i="91"/>
  <c r="E67" i="91"/>
  <c r="H66" i="91"/>
  <c r="H65" i="91"/>
  <c r="H64" i="91"/>
  <c r="H62" i="91"/>
  <c r="H60" i="91"/>
  <c r="H59" i="91"/>
  <c r="H58" i="91"/>
  <c r="H56" i="91"/>
  <c r="H55" i="91"/>
  <c r="H54" i="91"/>
  <c r="H53" i="91"/>
  <c r="H52" i="91"/>
  <c r="H51" i="91"/>
  <c r="H50" i="91"/>
  <c r="H49" i="91"/>
  <c r="H46" i="91"/>
  <c r="H45" i="91"/>
  <c r="H44" i="91"/>
  <c r="H43" i="91"/>
  <c r="H42" i="91"/>
  <c r="H41" i="91"/>
  <c r="H40" i="91"/>
  <c r="E37" i="91"/>
  <c r="H36" i="91"/>
  <c r="H33" i="91"/>
  <c r="H32" i="91"/>
  <c r="H30" i="91"/>
  <c r="E30" i="91"/>
  <c r="H29" i="91"/>
  <c r="H28" i="91"/>
  <c r="H27" i="91"/>
  <c r="H26" i="91"/>
  <c r="H25" i="91"/>
  <c r="H24" i="91"/>
  <c r="H23" i="91"/>
  <c r="H22" i="91"/>
  <c r="H20" i="91"/>
  <c r="H19" i="91"/>
  <c r="H18" i="91"/>
  <c r="H17" i="91"/>
  <c r="E13" i="91"/>
  <c r="E12" i="91"/>
  <c r="E11" i="91"/>
  <c r="E10" i="91"/>
  <c r="H86" i="90"/>
  <c r="H84" i="90"/>
  <c r="H83" i="90"/>
  <c r="H81" i="90"/>
  <c r="H80" i="90"/>
  <c r="H79" i="90"/>
  <c r="H78" i="90"/>
  <c r="H77" i="90"/>
  <c r="H74" i="90"/>
  <c r="H73" i="90"/>
  <c r="H72" i="90"/>
  <c r="H71" i="90"/>
  <c r="E67" i="90"/>
  <c r="H66" i="90"/>
  <c r="H65" i="90"/>
  <c r="H64" i="90"/>
  <c r="H62" i="90"/>
  <c r="H60" i="90"/>
  <c r="H59" i="90"/>
  <c r="H58" i="90"/>
  <c r="H56" i="90"/>
  <c r="H55" i="90"/>
  <c r="H54" i="90"/>
  <c r="H53" i="90"/>
  <c r="H52" i="90"/>
  <c r="H51" i="90"/>
  <c r="H50" i="90"/>
  <c r="H49" i="90"/>
  <c r="H46" i="90"/>
  <c r="H45" i="90"/>
  <c r="H44" i="90"/>
  <c r="H43" i="90"/>
  <c r="H42" i="90"/>
  <c r="H41" i="90"/>
  <c r="H40" i="90"/>
  <c r="E37" i="90"/>
  <c r="H36" i="90"/>
  <c r="H33" i="90"/>
  <c r="H32" i="90"/>
  <c r="H30" i="90"/>
  <c r="E30" i="90"/>
  <c r="H29" i="90"/>
  <c r="H28" i="90"/>
  <c r="H27" i="90"/>
  <c r="H26" i="90"/>
  <c r="H25" i="90"/>
  <c r="H24" i="90"/>
  <c r="H23" i="90"/>
  <c r="H22" i="90"/>
  <c r="H20" i="90"/>
  <c r="H19" i="90"/>
  <c r="H18" i="90"/>
  <c r="H17" i="90"/>
  <c r="E13" i="90"/>
  <c r="E12" i="90"/>
  <c r="E11" i="90"/>
  <c r="H87" i="63"/>
  <c r="H85" i="63"/>
  <c r="H84" i="63"/>
  <c r="H82" i="63"/>
  <c r="H81" i="63"/>
  <c r="H80" i="63"/>
  <c r="H79" i="63"/>
  <c r="H78" i="63"/>
  <c r="H75" i="63"/>
  <c r="H74" i="63"/>
  <c r="E68" i="63"/>
  <c r="H67" i="63"/>
  <c r="H66" i="63"/>
  <c r="H65" i="63"/>
  <c r="H63" i="63"/>
  <c r="H61" i="63"/>
  <c r="H60" i="63"/>
  <c r="H59" i="63"/>
  <c r="H57" i="63"/>
  <c r="H56" i="63"/>
  <c r="H55" i="63"/>
  <c r="H54" i="63"/>
  <c r="H53" i="63"/>
  <c r="H52" i="63"/>
  <c r="H51" i="63"/>
  <c r="H50" i="63"/>
  <c r="H47" i="63"/>
  <c r="H46" i="63"/>
  <c r="H45" i="63"/>
  <c r="H44" i="63"/>
  <c r="H43" i="63"/>
  <c r="H42" i="63"/>
  <c r="H41" i="63"/>
  <c r="E38" i="63"/>
  <c r="H37" i="63"/>
  <c r="H34" i="63"/>
  <c r="H33" i="63"/>
  <c r="H32" i="63"/>
  <c r="H30" i="63"/>
  <c r="E30" i="63"/>
  <c r="H29" i="63"/>
  <c r="H28" i="63"/>
  <c r="H27" i="63"/>
  <c r="H26" i="63"/>
  <c r="H25" i="63"/>
  <c r="H24" i="63"/>
  <c r="H23" i="63"/>
  <c r="H22" i="63"/>
  <c r="H20" i="63"/>
  <c r="H19" i="63"/>
  <c r="H18" i="63"/>
  <c r="H17" i="63"/>
  <c r="E13" i="63"/>
  <c r="E12" i="63"/>
  <c r="H87" i="56"/>
  <c r="H85" i="56"/>
  <c r="H84" i="56"/>
  <c r="H82" i="56"/>
  <c r="H81" i="56"/>
  <c r="H80" i="56"/>
  <c r="H79" i="56"/>
  <c r="H78" i="56"/>
  <c r="H75" i="56"/>
  <c r="H74" i="56"/>
  <c r="E68" i="56"/>
  <c r="H67" i="56"/>
  <c r="H66" i="56"/>
  <c r="H65" i="56"/>
  <c r="H63" i="56"/>
  <c r="H61" i="56"/>
  <c r="H60" i="56"/>
  <c r="H59" i="56"/>
  <c r="H57" i="56"/>
  <c r="H56" i="56"/>
  <c r="H55" i="56"/>
  <c r="H54" i="56"/>
  <c r="H53" i="56"/>
  <c r="H52" i="56"/>
  <c r="H51" i="56"/>
  <c r="H50" i="56"/>
  <c r="H47" i="56"/>
  <c r="H46" i="56"/>
  <c r="H45" i="56"/>
  <c r="H44" i="56"/>
  <c r="H43" i="56"/>
  <c r="H42" i="56"/>
  <c r="H41" i="56"/>
  <c r="E38" i="56"/>
  <c r="H37" i="56"/>
  <c r="H34" i="56"/>
  <c r="H33" i="56"/>
  <c r="H32" i="56"/>
  <c r="H30" i="56"/>
  <c r="E30" i="56"/>
  <c r="H29" i="56"/>
  <c r="H28" i="56"/>
  <c r="H27" i="56"/>
  <c r="H26" i="56"/>
  <c r="H25" i="56"/>
  <c r="H24" i="56"/>
  <c r="H23" i="56"/>
  <c r="H22" i="56"/>
  <c r="H20" i="56"/>
  <c r="H19" i="56"/>
  <c r="H18" i="56"/>
  <c r="H17" i="56"/>
  <c r="E13" i="56"/>
  <c r="E12" i="56"/>
  <c r="H86" i="89"/>
  <c r="H84" i="89"/>
  <c r="H83" i="89"/>
  <c r="H81" i="89"/>
  <c r="H80" i="89"/>
  <c r="H79" i="89"/>
  <c r="H78" i="89"/>
  <c r="H77" i="89"/>
  <c r="H74" i="89"/>
  <c r="H73" i="89"/>
  <c r="H72" i="89"/>
  <c r="H71" i="89"/>
  <c r="E67" i="89"/>
  <c r="H66" i="89"/>
  <c r="H65" i="89"/>
  <c r="H64" i="89"/>
  <c r="H62" i="89"/>
  <c r="H60" i="89"/>
  <c r="H59" i="89"/>
  <c r="H58" i="89"/>
  <c r="H56" i="89"/>
  <c r="H55" i="89"/>
  <c r="H54" i="89"/>
  <c r="H53" i="89"/>
  <c r="H52" i="89"/>
  <c r="H51" i="89"/>
  <c r="H50" i="89"/>
  <c r="H49" i="89"/>
  <c r="H46" i="89"/>
  <c r="H45" i="89"/>
  <c r="H44" i="89"/>
  <c r="H43" i="89"/>
  <c r="H42" i="89"/>
  <c r="H41" i="89"/>
  <c r="H40" i="89"/>
  <c r="E37" i="89"/>
  <c r="H36" i="89"/>
  <c r="H33" i="89"/>
  <c r="H32" i="89"/>
  <c r="H30" i="89"/>
  <c r="E30" i="89"/>
  <c r="H29" i="89"/>
  <c r="H28" i="89"/>
  <c r="H27" i="89"/>
  <c r="H26" i="89"/>
  <c r="H25" i="89"/>
  <c r="H24" i="89"/>
  <c r="H23" i="89"/>
  <c r="H22" i="89"/>
  <c r="H20" i="89"/>
  <c r="H19" i="89"/>
  <c r="H18" i="89"/>
  <c r="H17" i="89"/>
  <c r="E13" i="89"/>
  <c r="E12" i="89"/>
  <c r="E11" i="89"/>
  <c r="E10" i="89"/>
  <c r="E9" i="89"/>
  <c r="E8" i="89"/>
  <c r="H86" i="88"/>
  <c r="H84" i="88"/>
  <c r="H83" i="88"/>
  <c r="H81" i="88"/>
  <c r="H80" i="88"/>
  <c r="H79" i="88"/>
  <c r="H78" i="88"/>
  <c r="H77" i="88"/>
  <c r="H74" i="88"/>
  <c r="H73" i="88"/>
  <c r="H72" i="88"/>
  <c r="H71" i="88"/>
  <c r="E67" i="88"/>
  <c r="H66" i="88"/>
  <c r="H65" i="88"/>
  <c r="H64" i="88"/>
  <c r="H62" i="88"/>
  <c r="H60" i="88"/>
  <c r="H59" i="88"/>
  <c r="H58" i="88"/>
  <c r="H56" i="88"/>
  <c r="H55" i="88"/>
  <c r="H54" i="88"/>
  <c r="H53" i="88"/>
  <c r="H52" i="88"/>
  <c r="H51" i="88"/>
  <c r="H50" i="88"/>
  <c r="H49" i="88"/>
  <c r="H46" i="88"/>
  <c r="H45" i="88"/>
  <c r="H44" i="88"/>
  <c r="H43" i="88"/>
  <c r="H42" i="88"/>
  <c r="H41" i="88"/>
  <c r="H40" i="88"/>
  <c r="E37" i="88"/>
  <c r="H36" i="88"/>
  <c r="H33" i="88"/>
  <c r="H32" i="88"/>
  <c r="H30" i="88"/>
  <c r="E30" i="88"/>
  <c r="H29" i="88"/>
  <c r="H28" i="88"/>
  <c r="H27" i="88"/>
  <c r="H26" i="88"/>
  <c r="H25" i="88"/>
  <c r="H24" i="88"/>
  <c r="H23" i="88"/>
  <c r="H22" i="88"/>
  <c r="H20" i="88"/>
  <c r="H19" i="88"/>
  <c r="H18" i="88"/>
  <c r="H17" i="88"/>
  <c r="E13" i="88"/>
  <c r="E12" i="88"/>
  <c r="E11" i="88"/>
  <c r="H86" i="87"/>
  <c r="H84" i="87"/>
  <c r="H83" i="87"/>
  <c r="H81" i="87"/>
  <c r="H80" i="87"/>
  <c r="H79" i="87"/>
  <c r="H78" i="87"/>
  <c r="H77" i="87"/>
  <c r="H74" i="87"/>
  <c r="H73" i="87"/>
  <c r="H72" i="87"/>
  <c r="H71" i="87"/>
  <c r="E67" i="87"/>
  <c r="H66" i="87"/>
  <c r="H65" i="87"/>
  <c r="H64" i="87"/>
  <c r="H62" i="87"/>
  <c r="H60" i="87"/>
  <c r="H59" i="87"/>
  <c r="H58" i="87"/>
  <c r="H56" i="87"/>
  <c r="H55" i="87"/>
  <c r="H54" i="87"/>
  <c r="H53" i="87"/>
  <c r="H52" i="87"/>
  <c r="H51" i="87"/>
  <c r="H50" i="87"/>
  <c r="H49" i="87"/>
  <c r="H46" i="87"/>
  <c r="H45" i="87"/>
  <c r="H44" i="87"/>
  <c r="H43" i="87"/>
  <c r="H42" i="87"/>
  <c r="H41" i="87"/>
  <c r="H40" i="87"/>
  <c r="E37" i="87"/>
  <c r="H36" i="87"/>
  <c r="H32" i="87"/>
  <c r="H30" i="87"/>
  <c r="E30" i="87"/>
  <c r="H29" i="87"/>
  <c r="H28" i="87"/>
  <c r="H27" i="87"/>
  <c r="H26" i="87"/>
  <c r="H25" i="87"/>
  <c r="H24" i="87"/>
  <c r="H23" i="87"/>
  <c r="H22" i="87"/>
  <c r="H20" i="87"/>
  <c r="H19" i="87"/>
  <c r="H18" i="87"/>
  <c r="H17" i="87"/>
  <c r="E13" i="87"/>
  <c r="E12" i="87"/>
  <c r="E11" i="87"/>
  <c r="H86" i="86"/>
  <c r="H84" i="86"/>
  <c r="H83" i="86"/>
  <c r="H81" i="86"/>
  <c r="H80" i="86"/>
  <c r="H79" i="86"/>
  <c r="H78" i="86"/>
  <c r="H77" i="86"/>
  <c r="H74" i="86"/>
  <c r="H73" i="86"/>
  <c r="H72" i="86"/>
  <c r="H71" i="86"/>
  <c r="E67" i="86"/>
  <c r="H66" i="86"/>
  <c r="H65" i="86"/>
  <c r="H64" i="86"/>
  <c r="H62" i="86"/>
  <c r="H60" i="86"/>
  <c r="H59" i="86"/>
  <c r="H58" i="86"/>
  <c r="H56" i="86"/>
  <c r="H55" i="86"/>
  <c r="H54" i="86"/>
  <c r="H53" i="86"/>
  <c r="H52" i="86"/>
  <c r="H51" i="86"/>
  <c r="H50" i="86"/>
  <c r="H49" i="86"/>
  <c r="H46" i="86"/>
  <c r="H45" i="86"/>
  <c r="H44" i="86"/>
  <c r="H43" i="86"/>
  <c r="H42" i="86"/>
  <c r="H41" i="86"/>
  <c r="H40" i="86"/>
  <c r="E37" i="86"/>
  <c r="H36" i="86"/>
  <c r="H32" i="86"/>
  <c r="H30" i="86"/>
  <c r="E30" i="86"/>
  <c r="H29" i="86"/>
  <c r="H28" i="86"/>
  <c r="H27" i="86"/>
  <c r="H26" i="86"/>
  <c r="H25" i="86"/>
  <c r="H24" i="86"/>
  <c r="H23" i="86"/>
  <c r="H22" i="86"/>
  <c r="H20" i="86"/>
  <c r="H19" i="86"/>
  <c r="H18" i="86"/>
  <c r="H17" i="86"/>
  <c r="E13" i="86"/>
  <c r="E12" i="86"/>
  <c r="E8" i="86"/>
  <c r="H86" i="101"/>
  <c r="H84" i="101"/>
  <c r="H83" i="101"/>
  <c r="H81" i="101"/>
  <c r="H80" i="101"/>
  <c r="H79" i="101"/>
  <c r="H78" i="101"/>
  <c r="H77" i="101"/>
  <c r="H74" i="101"/>
  <c r="H73" i="101"/>
  <c r="H72" i="101"/>
  <c r="H71" i="101"/>
  <c r="E67" i="101"/>
  <c r="H66" i="101"/>
  <c r="H65" i="101"/>
  <c r="H64" i="101"/>
  <c r="H62" i="101"/>
  <c r="H60" i="101"/>
  <c r="H59" i="101"/>
  <c r="H58" i="101"/>
  <c r="H56" i="101"/>
  <c r="H55" i="101"/>
  <c r="H54" i="101"/>
  <c r="H53" i="101"/>
  <c r="H52" i="101"/>
  <c r="H51" i="101"/>
  <c r="H50" i="101"/>
  <c r="H49" i="101"/>
  <c r="H46" i="101"/>
  <c r="H45" i="101"/>
  <c r="H44" i="101"/>
  <c r="H43" i="101"/>
  <c r="H42" i="101"/>
  <c r="H41" i="101"/>
  <c r="H40" i="101"/>
  <c r="E37" i="101"/>
  <c r="H36" i="101"/>
  <c r="H32" i="101"/>
  <c r="H30" i="101"/>
  <c r="E30" i="101"/>
  <c r="H29" i="101"/>
  <c r="H28" i="101"/>
  <c r="H27" i="101"/>
  <c r="H26" i="101"/>
  <c r="H25" i="101"/>
  <c r="H24" i="101"/>
  <c r="H23" i="101"/>
  <c r="H22" i="101"/>
  <c r="H20" i="101"/>
  <c r="H19" i="101"/>
  <c r="H18" i="101"/>
  <c r="H17" i="101"/>
  <c r="E13" i="101"/>
  <c r="E12" i="101"/>
  <c r="H87" i="85"/>
  <c r="H85" i="85"/>
  <c r="H84" i="85"/>
  <c r="H82" i="85"/>
  <c r="H81" i="85"/>
  <c r="H80" i="85"/>
  <c r="H79" i="85"/>
  <c r="H78" i="85"/>
  <c r="H75" i="85"/>
  <c r="E68" i="85"/>
  <c r="H67" i="85"/>
  <c r="H66" i="85"/>
  <c r="H65" i="85"/>
  <c r="H63" i="85"/>
  <c r="H61" i="85"/>
  <c r="H60" i="85"/>
  <c r="H59" i="85"/>
  <c r="H57" i="85"/>
  <c r="H56" i="85"/>
  <c r="H55" i="85"/>
  <c r="H54" i="85"/>
  <c r="H53" i="85"/>
  <c r="H52" i="85"/>
  <c r="H51" i="85"/>
  <c r="H50" i="85"/>
  <c r="H47" i="85"/>
  <c r="H46" i="85"/>
  <c r="H45" i="85"/>
  <c r="H44" i="85"/>
  <c r="H43" i="85"/>
  <c r="H42" i="85"/>
  <c r="H41" i="85"/>
  <c r="E38" i="85"/>
  <c r="H37" i="85"/>
  <c r="H33" i="85"/>
  <c r="H31" i="85"/>
  <c r="E31" i="85"/>
  <c r="H30" i="85"/>
  <c r="H29" i="85"/>
  <c r="H28" i="85"/>
  <c r="H27" i="85"/>
  <c r="H26" i="85"/>
  <c r="H25" i="85"/>
  <c r="H24" i="85"/>
  <c r="H23" i="85"/>
  <c r="H21" i="85"/>
  <c r="H20" i="85"/>
  <c r="H19" i="85"/>
  <c r="H18" i="85"/>
  <c r="E14" i="85"/>
  <c r="E13" i="85"/>
  <c r="E12" i="85"/>
  <c r="E11" i="85"/>
  <c r="E10" i="85"/>
  <c r="E9" i="85"/>
  <c r="E8" i="85"/>
  <c r="H86" i="84"/>
  <c r="H84" i="84"/>
  <c r="H83" i="84"/>
  <c r="H81" i="84"/>
  <c r="H80" i="84"/>
  <c r="H79" i="84"/>
  <c r="H78" i="84"/>
  <c r="H77" i="84"/>
  <c r="H74" i="84"/>
  <c r="E67" i="84"/>
  <c r="H66" i="84"/>
  <c r="H65" i="84"/>
  <c r="H64" i="84"/>
  <c r="H62" i="84"/>
  <c r="H60" i="84"/>
  <c r="H59" i="84"/>
  <c r="H58" i="84"/>
  <c r="H56" i="84"/>
  <c r="H55" i="84"/>
  <c r="H54" i="84"/>
  <c r="H53" i="84"/>
  <c r="H52" i="84"/>
  <c r="H51" i="84"/>
  <c r="H50" i="84"/>
  <c r="H49" i="84"/>
  <c r="H46" i="84"/>
  <c r="H45" i="84"/>
  <c r="H44" i="84"/>
  <c r="H43" i="84"/>
  <c r="H42" i="84"/>
  <c r="H41" i="84"/>
  <c r="H40" i="84"/>
  <c r="E37" i="84"/>
  <c r="H36" i="84"/>
  <c r="H32" i="84"/>
  <c r="H30" i="84"/>
  <c r="E30" i="84"/>
  <c r="H29" i="84"/>
  <c r="H28" i="84"/>
  <c r="H27" i="84"/>
  <c r="H26" i="84"/>
  <c r="H25" i="84"/>
  <c r="H24" i="84"/>
  <c r="H23" i="84"/>
  <c r="H22" i="84"/>
  <c r="H20" i="84"/>
  <c r="H19" i="84"/>
  <c r="H18" i="84"/>
  <c r="H17" i="84"/>
  <c r="E13" i="84"/>
  <c r="E12" i="84"/>
  <c r="E11" i="84"/>
  <c r="E10" i="84"/>
  <c r="H86" i="35"/>
  <c r="H84" i="35"/>
  <c r="H83" i="35"/>
  <c r="H81" i="35"/>
  <c r="H80" i="35"/>
  <c r="H79" i="35"/>
  <c r="H78" i="35"/>
  <c r="H77" i="35"/>
  <c r="H74" i="35"/>
  <c r="E67" i="35"/>
  <c r="H66" i="35"/>
  <c r="H65" i="35"/>
  <c r="H64" i="35"/>
  <c r="H62" i="35"/>
  <c r="H60" i="35"/>
  <c r="H59" i="35"/>
  <c r="H58" i="35"/>
  <c r="H56" i="35"/>
  <c r="H55" i="35"/>
  <c r="H54" i="35"/>
  <c r="H53" i="35"/>
  <c r="H52" i="35"/>
  <c r="H51" i="35"/>
  <c r="H50" i="35"/>
  <c r="H49" i="35"/>
  <c r="H46" i="35"/>
  <c r="H45" i="35"/>
  <c r="H44" i="35"/>
  <c r="H43" i="35"/>
  <c r="H42" i="35"/>
  <c r="H41" i="35"/>
  <c r="H40" i="35"/>
  <c r="E37" i="35"/>
  <c r="H36" i="35"/>
  <c r="H32" i="35"/>
  <c r="H30" i="35"/>
  <c r="E30" i="35"/>
  <c r="H29" i="35"/>
  <c r="H28" i="35"/>
  <c r="H27" i="35"/>
  <c r="H26" i="35"/>
  <c r="H25" i="35"/>
  <c r="H24" i="35"/>
  <c r="H23" i="35"/>
  <c r="H22" i="35"/>
  <c r="H20" i="35"/>
  <c r="H19" i="35"/>
  <c r="H18" i="35"/>
  <c r="H17" i="35"/>
  <c r="E13" i="35"/>
  <c r="E12" i="35"/>
  <c r="E11" i="35"/>
  <c r="E10" i="35"/>
  <c r="H86" i="26"/>
  <c r="H84" i="26"/>
  <c r="H83" i="26"/>
  <c r="H81" i="26"/>
  <c r="H80" i="26"/>
  <c r="H79" i="26"/>
  <c r="H78" i="26"/>
  <c r="H77" i="26"/>
  <c r="H74" i="26"/>
  <c r="E67" i="26"/>
  <c r="H66" i="26"/>
  <c r="H65" i="26"/>
  <c r="H64" i="26"/>
  <c r="H62" i="26"/>
  <c r="H60" i="26"/>
  <c r="H59" i="26"/>
  <c r="H58" i="26"/>
  <c r="H56" i="26"/>
  <c r="H55" i="26"/>
  <c r="H54" i="26"/>
  <c r="H53" i="26"/>
  <c r="H52" i="26"/>
  <c r="H51" i="26"/>
  <c r="H50" i="26"/>
  <c r="H49" i="26"/>
  <c r="H46" i="26"/>
  <c r="H45" i="26"/>
  <c r="H44" i="26"/>
  <c r="H43" i="26"/>
  <c r="H42" i="26"/>
  <c r="H41" i="26"/>
  <c r="H40" i="26"/>
  <c r="E37" i="26"/>
  <c r="H36" i="26"/>
  <c r="H30" i="26"/>
  <c r="E30" i="26"/>
  <c r="H29" i="26"/>
  <c r="H28" i="26"/>
  <c r="H27" i="26"/>
  <c r="H26" i="26"/>
  <c r="H25" i="26"/>
  <c r="H24" i="26"/>
  <c r="H23" i="26"/>
  <c r="H22" i="26"/>
  <c r="H20" i="26"/>
  <c r="H19" i="26"/>
  <c r="H18" i="26"/>
  <c r="H17" i="26"/>
  <c r="E13" i="26"/>
  <c r="E12" i="26"/>
  <c r="H86" i="52"/>
  <c r="H84" i="52"/>
  <c r="H83" i="52"/>
  <c r="H81" i="52"/>
  <c r="H80" i="52"/>
  <c r="H79" i="52"/>
  <c r="H78" i="52"/>
  <c r="H77" i="52"/>
  <c r="H74" i="52"/>
  <c r="E67" i="52"/>
  <c r="H66" i="52"/>
  <c r="H65" i="52"/>
  <c r="H64" i="52"/>
  <c r="H62" i="52"/>
  <c r="H60" i="52"/>
  <c r="H59" i="52"/>
  <c r="H58" i="52"/>
  <c r="H56" i="52"/>
  <c r="H55" i="52"/>
  <c r="H54" i="52"/>
  <c r="H53" i="52"/>
  <c r="H52" i="52"/>
  <c r="H51" i="52"/>
  <c r="H50" i="52"/>
  <c r="H49" i="52"/>
  <c r="H46" i="52"/>
  <c r="H45" i="52"/>
  <c r="H44" i="52"/>
  <c r="H43" i="52"/>
  <c r="H42" i="52"/>
  <c r="H41" i="52"/>
  <c r="H40" i="52"/>
  <c r="E37" i="52"/>
  <c r="H36" i="52"/>
  <c r="H33" i="52"/>
  <c r="H32" i="52"/>
  <c r="H30" i="52"/>
  <c r="E30" i="52"/>
  <c r="H29" i="52"/>
  <c r="H28" i="52"/>
  <c r="H27" i="52"/>
  <c r="H26" i="52"/>
  <c r="H25" i="52"/>
  <c r="H24" i="52"/>
  <c r="H23" i="52"/>
  <c r="H22" i="52"/>
  <c r="H20" i="52"/>
  <c r="H19" i="52"/>
  <c r="H18" i="52"/>
  <c r="H17" i="52"/>
  <c r="E13" i="52"/>
  <c r="E12" i="52"/>
  <c r="E10" i="52"/>
  <c r="E9" i="52"/>
  <c r="E8" i="52"/>
  <c r="H86" i="51"/>
  <c r="H84" i="51"/>
  <c r="H83" i="51"/>
  <c r="H81" i="51"/>
  <c r="H80" i="51"/>
  <c r="H79" i="51"/>
  <c r="H78" i="51"/>
  <c r="H77" i="51"/>
  <c r="H74" i="51"/>
  <c r="E67" i="51"/>
  <c r="H66" i="51"/>
  <c r="H65" i="51"/>
  <c r="H64" i="51"/>
  <c r="H62" i="51"/>
  <c r="H60" i="51"/>
  <c r="H59" i="51"/>
  <c r="H58" i="51"/>
  <c r="H56" i="51"/>
  <c r="H55" i="51"/>
  <c r="H54" i="51"/>
  <c r="H53" i="51"/>
  <c r="H52" i="51"/>
  <c r="H51" i="51"/>
  <c r="H50" i="51"/>
  <c r="H49" i="51"/>
  <c r="H46" i="51"/>
  <c r="H45" i="51"/>
  <c r="H44" i="51"/>
  <c r="H43" i="51"/>
  <c r="H42" i="51"/>
  <c r="H41" i="51"/>
  <c r="H40" i="51"/>
  <c r="E37" i="51"/>
  <c r="H36" i="51"/>
  <c r="H33" i="51"/>
  <c r="H32" i="51"/>
  <c r="H30" i="51"/>
  <c r="E30" i="51"/>
  <c r="H29" i="51"/>
  <c r="H28" i="51"/>
  <c r="H27" i="51"/>
  <c r="H26" i="51"/>
  <c r="H25" i="51"/>
  <c r="H24" i="51"/>
  <c r="H23" i="51"/>
  <c r="H22" i="51"/>
  <c r="H20" i="51"/>
  <c r="H19" i="51"/>
  <c r="H18" i="51"/>
  <c r="H17" i="51"/>
  <c r="E13" i="51"/>
  <c r="E12" i="51"/>
  <c r="H86" i="25"/>
  <c r="H84" i="25"/>
  <c r="H83" i="25"/>
  <c r="H81" i="25"/>
  <c r="H80" i="25"/>
  <c r="H79" i="25"/>
  <c r="H78" i="25"/>
  <c r="H77" i="25"/>
  <c r="H74" i="25"/>
  <c r="E67" i="25"/>
  <c r="H66" i="25"/>
  <c r="H65" i="25"/>
  <c r="H64" i="25"/>
  <c r="H62" i="25"/>
  <c r="H60" i="25"/>
  <c r="H59" i="25"/>
  <c r="H58" i="25"/>
  <c r="H56" i="25"/>
  <c r="H55" i="25"/>
  <c r="H54" i="25"/>
  <c r="H53" i="25"/>
  <c r="H52" i="25"/>
  <c r="H51" i="25"/>
  <c r="H50" i="25"/>
  <c r="H49" i="25"/>
  <c r="H46" i="25"/>
  <c r="H45" i="25"/>
  <c r="H44" i="25"/>
  <c r="H43" i="25"/>
  <c r="H42" i="25"/>
  <c r="H41" i="25"/>
  <c r="H40" i="25"/>
  <c r="E37" i="25"/>
  <c r="H36" i="25"/>
  <c r="H33" i="25"/>
  <c r="H32" i="25"/>
  <c r="H30" i="25"/>
  <c r="E30" i="25"/>
  <c r="H29" i="25"/>
  <c r="H28" i="25"/>
  <c r="H27" i="25"/>
  <c r="H26" i="25"/>
  <c r="H25" i="25"/>
  <c r="H24" i="25"/>
  <c r="H23" i="25"/>
  <c r="H22" i="25"/>
  <c r="H20" i="25"/>
  <c r="H19" i="25"/>
  <c r="H18" i="25"/>
  <c r="H17" i="25"/>
  <c r="E13" i="25"/>
  <c r="E12" i="25"/>
  <c r="H86" i="81"/>
  <c r="H84" i="81"/>
  <c r="H83" i="81"/>
  <c r="H81" i="81"/>
  <c r="H80" i="81"/>
  <c r="H79" i="81"/>
  <c r="H78" i="81"/>
  <c r="H77" i="81"/>
  <c r="H74" i="81"/>
  <c r="E67" i="81"/>
  <c r="H66" i="81"/>
  <c r="H65" i="81"/>
  <c r="H64" i="81"/>
  <c r="H62" i="81"/>
  <c r="H60" i="81"/>
  <c r="H59" i="81"/>
  <c r="H58" i="81"/>
  <c r="H56" i="81"/>
  <c r="H55" i="81"/>
  <c r="H54" i="81"/>
  <c r="H53" i="81"/>
  <c r="H52" i="81"/>
  <c r="H51" i="81"/>
  <c r="H50" i="81"/>
  <c r="H49" i="81"/>
  <c r="H46" i="81"/>
  <c r="H45" i="81"/>
  <c r="H44" i="81"/>
  <c r="H43" i="81"/>
  <c r="H42" i="81"/>
  <c r="H41" i="81"/>
  <c r="H40" i="81"/>
  <c r="E37" i="81"/>
  <c r="H36" i="81"/>
  <c r="H33" i="81"/>
  <c r="H32" i="81"/>
  <c r="H30" i="81"/>
  <c r="E30" i="81"/>
  <c r="H29" i="81"/>
  <c r="H28" i="81"/>
  <c r="H27" i="81"/>
  <c r="H26" i="81"/>
  <c r="H25" i="81"/>
  <c r="H24" i="81"/>
  <c r="H23" i="81"/>
  <c r="H22" i="81"/>
  <c r="H20" i="81"/>
  <c r="H19" i="81"/>
  <c r="H18" i="81"/>
  <c r="H17" i="81"/>
  <c r="E13" i="81"/>
  <c r="E12" i="81"/>
  <c r="E11" i="81"/>
  <c r="E10" i="81"/>
  <c r="E9" i="81"/>
  <c r="E8" i="81"/>
  <c r="H86" i="80"/>
  <c r="H84" i="80"/>
  <c r="H83" i="80"/>
  <c r="H81" i="80"/>
  <c r="H80" i="80"/>
  <c r="H79" i="80"/>
  <c r="H78" i="80"/>
  <c r="H77" i="80"/>
  <c r="H74" i="80"/>
  <c r="E67" i="80"/>
  <c r="H66" i="80"/>
  <c r="H65" i="80"/>
  <c r="H64" i="80"/>
  <c r="H62" i="80"/>
  <c r="H60" i="80"/>
  <c r="H59" i="80"/>
  <c r="H58" i="80"/>
  <c r="H56" i="80"/>
  <c r="H55" i="80"/>
  <c r="H54" i="80"/>
  <c r="H53" i="80"/>
  <c r="H52" i="80"/>
  <c r="H51" i="80"/>
  <c r="H50" i="80"/>
  <c r="H49" i="80"/>
  <c r="H46" i="80"/>
  <c r="H45" i="80"/>
  <c r="H44" i="80"/>
  <c r="H43" i="80"/>
  <c r="H42" i="80"/>
  <c r="H41" i="80"/>
  <c r="H40" i="80"/>
  <c r="E37" i="80"/>
  <c r="H36" i="80"/>
  <c r="H33" i="80"/>
  <c r="H32" i="80"/>
  <c r="H30" i="80"/>
  <c r="E30" i="80"/>
  <c r="H29" i="80"/>
  <c r="H28" i="80"/>
  <c r="H27" i="80"/>
  <c r="H26" i="80"/>
  <c r="H25" i="80"/>
  <c r="H24" i="80"/>
  <c r="H23" i="80"/>
  <c r="H22" i="80"/>
  <c r="H20" i="80"/>
  <c r="H19" i="80"/>
  <c r="H18" i="80"/>
  <c r="H17" i="80"/>
  <c r="E13" i="80"/>
  <c r="E12" i="80"/>
  <c r="E11" i="80"/>
  <c r="H86" i="55"/>
  <c r="H84" i="55"/>
  <c r="H83" i="55"/>
  <c r="H81" i="55"/>
  <c r="H80" i="55"/>
  <c r="H79" i="55"/>
  <c r="H78" i="55"/>
  <c r="H77" i="55"/>
  <c r="H74" i="55"/>
  <c r="E67" i="55"/>
  <c r="H66" i="55"/>
  <c r="H65" i="55"/>
  <c r="H64" i="55"/>
  <c r="H62" i="55"/>
  <c r="H60" i="55"/>
  <c r="H59" i="55"/>
  <c r="H58" i="55"/>
  <c r="H56" i="55"/>
  <c r="H55" i="55"/>
  <c r="H54" i="55"/>
  <c r="H53" i="55"/>
  <c r="H52" i="55"/>
  <c r="H51" i="55"/>
  <c r="H50" i="55"/>
  <c r="H49" i="55"/>
  <c r="H46" i="55"/>
  <c r="H45" i="55"/>
  <c r="H44" i="55"/>
  <c r="H43" i="55"/>
  <c r="H42" i="55"/>
  <c r="H41" i="55"/>
  <c r="H40" i="55"/>
  <c r="E37" i="55"/>
  <c r="H36" i="55"/>
  <c r="H33" i="55"/>
  <c r="H32" i="55"/>
  <c r="H30" i="55"/>
  <c r="E30" i="55"/>
  <c r="H29" i="55"/>
  <c r="H28" i="55"/>
  <c r="H27" i="55"/>
  <c r="H26" i="55"/>
  <c r="H25" i="55"/>
  <c r="H24" i="55"/>
  <c r="H23" i="55"/>
  <c r="H22" i="55"/>
  <c r="H20" i="55"/>
  <c r="H19" i="55"/>
  <c r="H18" i="55"/>
  <c r="H17" i="55"/>
  <c r="E13" i="55"/>
  <c r="E12" i="55"/>
  <c r="H86" i="54"/>
  <c r="H84" i="54"/>
  <c r="H83" i="54"/>
  <c r="H81" i="54"/>
  <c r="H80" i="54"/>
  <c r="H79" i="54"/>
  <c r="H78" i="54"/>
  <c r="H77" i="54"/>
  <c r="H74" i="54"/>
  <c r="E67" i="54"/>
  <c r="H66" i="54"/>
  <c r="H65" i="54"/>
  <c r="H64" i="54"/>
  <c r="H62" i="54"/>
  <c r="H60" i="54"/>
  <c r="H59" i="54"/>
  <c r="H58" i="54"/>
  <c r="H56" i="54"/>
  <c r="H55" i="54"/>
  <c r="H54" i="54"/>
  <c r="H53" i="54"/>
  <c r="H52" i="54"/>
  <c r="H51" i="54"/>
  <c r="H50" i="54"/>
  <c r="H49" i="54"/>
  <c r="H46" i="54"/>
  <c r="H45" i="54"/>
  <c r="H44" i="54"/>
  <c r="H43" i="54"/>
  <c r="H42" i="54"/>
  <c r="H41" i="54"/>
  <c r="H40" i="54"/>
  <c r="E37" i="54"/>
  <c r="H36" i="54"/>
  <c r="H33" i="54"/>
  <c r="H32" i="54"/>
  <c r="H30" i="54"/>
  <c r="E30" i="54"/>
  <c r="H29" i="54"/>
  <c r="H28" i="54"/>
  <c r="H27" i="54"/>
  <c r="H26" i="54"/>
  <c r="H25" i="54"/>
  <c r="H24" i="54"/>
  <c r="H23" i="54"/>
  <c r="H22" i="54"/>
  <c r="H20" i="54"/>
  <c r="H19" i="54"/>
  <c r="H18" i="54"/>
  <c r="H17" i="54"/>
  <c r="E13" i="54"/>
  <c r="E12" i="54"/>
  <c r="H86" i="23"/>
  <c r="H84" i="23"/>
  <c r="H83" i="23"/>
  <c r="H81" i="23"/>
  <c r="H80" i="23"/>
  <c r="H79" i="23"/>
  <c r="H78" i="23"/>
  <c r="H77" i="23"/>
  <c r="H74" i="23"/>
  <c r="E67" i="23"/>
  <c r="H66" i="23"/>
  <c r="H65" i="23"/>
  <c r="H64" i="23"/>
  <c r="H62" i="23"/>
  <c r="H60" i="23"/>
  <c r="H59" i="23"/>
  <c r="H58" i="23"/>
  <c r="H56" i="23"/>
  <c r="H55" i="23"/>
  <c r="H54" i="23"/>
  <c r="H53" i="23"/>
  <c r="H52" i="23"/>
  <c r="H51" i="23"/>
  <c r="H50" i="23"/>
  <c r="H49" i="23"/>
  <c r="H46" i="23"/>
  <c r="H45" i="23"/>
  <c r="H44" i="23"/>
  <c r="H43" i="23"/>
  <c r="H42" i="23"/>
  <c r="H41" i="23"/>
  <c r="H40" i="23"/>
  <c r="E37" i="23"/>
  <c r="H36" i="23"/>
  <c r="H33" i="23"/>
  <c r="H32" i="23"/>
  <c r="H30" i="23"/>
  <c r="E30" i="23"/>
  <c r="H29" i="23"/>
  <c r="H28" i="23"/>
  <c r="H27" i="23"/>
  <c r="H26" i="23"/>
  <c r="H25" i="23"/>
  <c r="H24" i="23"/>
  <c r="H23" i="23"/>
  <c r="H22" i="23"/>
  <c r="H20" i="23"/>
  <c r="H19" i="23"/>
  <c r="H18" i="23"/>
  <c r="H17" i="23"/>
  <c r="E13" i="23"/>
  <c r="E12" i="23"/>
  <c r="H86" i="22"/>
  <c r="H84" i="22"/>
  <c r="H83" i="22"/>
  <c r="H81" i="22"/>
  <c r="H80" i="22"/>
  <c r="H79" i="22"/>
  <c r="H78" i="22"/>
  <c r="H77" i="22"/>
  <c r="H74" i="22"/>
  <c r="E67" i="22"/>
  <c r="H66" i="22"/>
  <c r="H65" i="22"/>
  <c r="H64" i="22"/>
  <c r="H62" i="22"/>
  <c r="H60" i="22"/>
  <c r="H59" i="22"/>
  <c r="H58" i="22"/>
  <c r="H56" i="22"/>
  <c r="H55" i="22"/>
  <c r="H54" i="22"/>
  <c r="H53" i="22"/>
  <c r="H52" i="22"/>
  <c r="H51" i="22"/>
  <c r="H50" i="22"/>
  <c r="H49" i="22"/>
  <c r="H46" i="22"/>
  <c r="H45" i="22"/>
  <c r="H44" i="22"/>
  <c r="H43" i="22"/>
  <c r="H42" i="22"/>
  <c r="H41" i="22"/>
  <c r="H40" i="22"/>
  <c r="E37" i="22"/>
  <c r="H36" i="22"/>
  <c r="H31" i="22"/>
  <c r="H29" i="22"/>
  <c r="E29" i="22"/>
  <c r="H28" i="22"/>
  <c r="H27" i="22"/>
  <c r="H26" i="22"/>
  <c r="H25" i="22"/>
  <c r="H24" i="22"/>
  <c r="H23" i="22"/>
  <c r="H22" i="22"/>
  <c r="H21" i="22"/>
  <c r="H19" i="22"/>
  <c r="H18" i="22"/>
  <c r="H17" i="22"/>
  <c r="H16" i="22"/>
  <c r="E12" i="22"/>
  <c r="E11" i="22"/>
  <c r="H86" i="79"/>
  <c r="H84" i="79"/>
  <c r="H83" i="79"/>
  <c r="H81" i="79"/>
  <c r="H80" i="79"/>
  <c r="H79" i="79"/>
  <c r="H78" i="79"/>
  <c r="H77" i="79"/>
  <c r="H74" i="79"/>
  <c r="E67" i="79"/>
  <c r="H66" i="79"/>
  <c r="H65" i="79"/>
  <c r="H64" i="79"/>
  <c r="H62" i="79"/>
  <c r="H60" i="79"/>
  <c r="H59" i="79"/>
  <c r="H58" i="79"/>
  <c r="H56" i="79"/>
  <c r="H55" i="79"/>
  <c r="H54" i="79"/>
  <c r="H53" i="79"/>
  <c r="H52" i="79"/>
  <c r="H51" i="79"/>
  <c r="H50" i="79"/>
  <c r="H49" i="79"/>
  <c r="H46" i="79"/>
  <c r="H45" i="79"/>
  <c r="H44" i="79"/>
  <c r="H43" i="79"/>
  <c r="H42" i="79"/>
  <c r="H41" i="79"/>
  <c r="H40" i="79"/>
  <c r="E37" i="79"/>
  <c r="H36" i="79"/>
  <c r="H32" i="79"/>
  <c r="H30" i="79"/>
  <c r="E30" i="79"/>
  <c r="H29" i="79"/>
  <c r="H28" i="79"/>
  <c r="H27" i="79"/>
  <c r="H26" i="79"/>
  <c r="H25" i="79"/>
  <c r="H24" i="79"/>
  <c r="H23" i="79"/>
  <c r="H22" i="79"/>
  <c r="H20" i="79"/>
  <c r="H19" i="79"/>
  <c r="H18" i="79"/>
  <c r="H17" i="79"/>
  <c r="E13" i="79"/>
  <c r="E12" i="79"/>
  <c r="H86" i="82"/>
  <c r="H84" i="82"/>
  <c r="H83" i="82"/>
  <c r="H81" i="82"/>
  <c r="H80" i="82"/>
  <c r="H79" i="82"/>
  <c r="H78" i="82"/>
  <c r="H77" i="82"/>
  <c r="H74" i="82"/>
  <c r="E67" i="82"/>
  <c r="H66" i="82"/>
  <c r="H65" i="82"/>
  <c r="H64" i="82"/>
  <c r="H62" i="82"/>
  <c r="H60" i="82"/>
  <c r="H59" i="82"/>
  <c r="H58" i="82"/>
  <c r="H56" i="82"/>
  <c r="H55" i="82"/>
  <c r="H54" i="82"/>
  <c r="H53" i="82"/>
  <c r="H52" i="82"/>
  <c r="H51" i="82"/>
  <c r="H50" i="82"/>
  <c r="H49" i="82"/>
  <c r="H46" i="82"/>
  <c r="H45" i="82"/>
  <c r="H44" i="82"/>
  <c r="H43" i="82"/>
  <c r="H42" i="82"/>
  <c r="H41" i="82"/>
  <c r="H40" i="82"/>
  <c r="E37" i="82"/>
  <c r="H36" i="82"/>
  <c r="H33" i="82"/>
  <c r="H30" i="82"/>
  <c r="E30" i="82"/>
  <c r="H29" i="82"/>
  <c r="H28" i="82"/>
  <c r="H27" i="82"/>
  <c r="H26" i="82"/>
  <c r="H25" i="82"/>
  <c r="H24" i="82"/>
  <c r="H23" i="82"/>
  <c r="H22" i="82"/>
  <c r="H20" i="82"/>
  <c r="H19" i="82"/>
  <c r="H18" i="82"/>
  <c r="H17" i="82"/>
  <c r="E13" i="82"/>
  <c r="E12" i="82"/>
  <c r="E11" i="82"/>
  <c r="E8" i="82"/>
  <c r="H86" i="78"/>
  <c r="H84" i="78"/>
  <c r="H83" i="78"/>
  <c r="H81" i="78"/>
  <c r="H80" i="78"/>
  <c r="H79" i="78"/>
  <c r="H78" i="78"/>
  <c r="H77" i="78"/>
  <c r="H74" i="78"/>
  <c r="E67" i="78"/>
  <c r="H66" i="78"/>
  <c r="H65" i="78"/>
  <c r="H64" i="78"/>
  <c r="H62" i="78"/>
  <c r="H60" i="78"/>
  <c r="H59" i="78"/>
  <c r="H58" i="78"/>
  <c r="H56" i="78"/>
  <c r="H55" i="78"/>
  <c r="H54" i="78"/>
  <c r="H53" i="78"/>
  <c r="H52" i="78"/>
  <c r="H51" i="78"/>
  <c r="H50" i="78"/>
  <c r="H49" i="78"/>
  <c r="H46" i="78"/>
  <c r="H45" i="78"/>
  <c r="H44" i="78"/>
  <c r="H43" i="78"/>
  <c r="H42" i="78"/>
  <c r="H41" i="78"/>
  <c r="H40" i="78"/>
  <c r="E37" i="78"/>
  <c r="H36" i="78"/>
  <c r="H33" i="78"/>
  <c r="H30" i="78"/>
  <c r="E30" i="78"/>
  <c r="H29" i="78"/>
  <c r="H28" i="78"/>
  <c r="H27" i="78"/>
  <c r="H26" i="78"/>
  <c r="H25" i="78"/>
  <c r="H24" i="78"/>
  <c r="H23" i="78"/>
  <c r="H22" i="78"/>
  <c r="H20" i="78"/>
  <c r="H19" i="78"/>
  <c r="H18" i="78"/>
  <c r="H17" i="78"/>
  <c r="E13" i="78"/>
  <c r="E12" i="78"/>
  <c r="E11" i="78"/>
  <c r="H86" i="77"/>
  <c r="H84" i="77"/>
  <c r="H83" i="77"/>
  <c r="H81" i="77"/>
  <c r="H80" i="77"/>
  <c r="H79" i="77"/>
  <c r="H78" i="77"/>
  <c r="H77" i="77"/>
  <c r="H74" i="77"/>
  <c r="E67" i="77"/>
  <c r="H66" i="77"/>
  <c r="H65" i="77"/>
  <c r="H64" i="77"/>
  <c r="H62" i="77"/>
  <c r="H60" i="77"/>
  <c r="H59" i="77"/>
  <c r="H58" i="77"/>
  <c r="H56" i="77"/>
  <c r="H55" i="77"/>
  <c r="H54" i="77"/>
  <c r="H53" i="77"/>
  <c r="H52" i="77"/>
  <c r="H51" i="77"/>
  <c r="H50" i="77"/>
  <c r="H49" i="77"/>
  <c r="H46" i="77"/>
  <c r="H45" i="77"/>
  <c r="H44" i="77"/>
  <c r="H43" i="77"/>
  <c r="H42" i="77"/>
  <c r="H41" i="77"/>
  <c r="H40" i="77"/>
  <c r="E37" i="77"/>
  <c r="H36" i="77"/>
  <c r="H33" i="77"/>
  <c r="H32" i="77"/>
  <c r="H30" i="77"/>
  <c r="E30" i="77"/>
  <c r="H29" i="77"/>
  <c r="H28" i="77"/>
  <c r="H27" i="77"/>
  <c r="H26" i="77"/>
  <c r="H25" i="77"/>
  <c r="H24" i="77"/>
  <c r="H23" i="77"/>
  <c r="H22" i="77"/>
  <c r="H20" i="77"/>
  <c r="H19" i="77"/>
  <c r="H18" i="77"/>
  <c r="H17" i="77"/>
  <c r="E13" i="77"/>
  <c r="E12" i="77"/>
  <c r="H86" i="76"/>
  <c r="H84" i="76"/>
  <c r="H83" i="76"/>
  <c r="H81" i="76"/>
  <c r="H80" i="76"/>
  <c r="H79" i="76"/>
  <c r="H78" i="76"/>
  <c r="H77" i="76"/>
  <c r="H74" i="76"/>
  <c r="E67" i="76"/>
  <c r="H66" i="76"/>
  <c r="H65" i="76"/>
  <c r="H64" i="76"/>
  <c r="H62" i="76"/>
  <c r="H60" i="76"/>
  <c r="H59" i="76"/>
  <c r="H58" i="76"/>
  <c r="H56" i="76"/>
  <c r="H55" i="76"/>
  <c r="H54" i="76"/>
  <c r="H53" i="76"/>
  <c r="H52" i="76"/>
  <c r="H51" i="76"/>
  <c r="H50" i="76"/>
  <c r="H49" i="76"/>
  <c r="H46" i="76"/>
  <c r="H45" i="76"/>
  <c r="H44" i="76"/>
  <c r="H43" i="76"/>
  <c r="H42" i="76"/>
  <c r="H41" i="76"/>
  <c r="H40" i="76"/>
  <c r="E37" i="76"/>
  <c r="H36" i="76"/>
  <c r="H33" i="76"/>
  <c r="H32" i="76"/>
  <c r="H30" i="76"/>
  <c r="E30" i="76"/>
  <c r="H29" i="76"/>
  <c r="H28" i="76"/>
  <c r="H27" i="76"/>
  <c r="H26" i="76"/>
  <c r="H25" i="76"/>
  <c r="H24" i="76"/>
  <c r="H23" i="76"/>
  <c r="H22" i="76"/>
  <c r="H20" i="76"/>
  <c r="H19" i="76"/>
  <c r="H18" i="76"/>
  <c r="H17" i="76"/>
  <c r="E13" i="76"/>
  <c r="E12" i="76"/>
  <c r="H86" i="75"/>
  <c r="H84" i="75"/>
  <c r="H83" i="75"/>
  <c r="H81" i="75"/>
  <c r="H80" i="75"/>
  <c r="H79" i="75"/>
  <c r="H78" i="75"/>
  <c r="H77" i="75"/>
  <c r="H74" i="75"/>
  <c r="E67" i="75"/>
  <c r="H66" i="75"/>
  <c r="H65" i="75"/>
  <c r="H64" i="75"/>
  <c r="H62" i="75"/>
  <c r="H60" i="75"/>
  <c r="H59" i="75"/>
  <c r="H58" i="75"/>
  <c r="H56" i="75"/>
  <c r="H55" i="75"/>
  <c r="H54" i="75"/>
  <c r="H53" i="75"/>
  <c r="H52" i="75"/>
  <c r="H51" i="75"/>
  <c r="H50" i="75"/>
  <c r="H49" i="75"/>
  <c r="H46" i="75"/>
  <c r="H45" i="75"/>
  <c r="H44" i="75"/>
  <c r="H43" i="75"/>
  <c r="H42" i="75"/>
  <c r="H41" i="75"/>
  <c r="H40" i="75"/>
  <c r="E37" i="75"/>
  <c r="H36" i="75"/>
  <c r="H33" i="75"/>
  <c r="H32" i="75"/>
  <c r="H30" i="75"/>
  <c r="E30" i="75"/>
  <c r="H29" i="75"/>
  <c r="H28" i="75"/>
  <c r="H27" i="75"/>
  <c r="H26" i="75"/>
  <c r="H25" i="75"/>
  <c r="H24" i="75"/>
  <c r="H23" i="75"/>
  <c r="H22" i="75"/>
  <c r="H20" i="75"/>
  <c r="H19" i="75"/>
  <c r="H18" i="75"/>
  <c r="H17" i="75"/>
  <c r="E13" i="75"/>
  <c r="E12" i="75"/>
  <c r="H86" i="74"/>
  <c r="H84" i="74"/>
  <c r="H83" i="74"/>
  <c r="H81" i="74"/>
  <c r="H80" i="74"/>
  <c r="H79" i="74"/>
  <c r="H78" i="74"/>
  <c r="H77" i="74"/>
  <c r="H74" i="74"/>
  <c r="E67" i="74"/>
  <c r="H66" i="74"/>
  <c r="H65" i="74"/>
  <c r="H64" i="74"/>
  <c r="H62" i="74"/>
  <c r="H60" i="74"/>
  <c r="H59" i="74"/>
  <c r="H58" i="74"/>
  <c r="H56" i="74"/>
  <c r="H55" i="74"/>
  <c r="H54" i="74"/>
  <c r="H53" i="74"/>
  <c r="H52" i="74"/>
  <c r="H51" i="74"/>
  <c r="H50" i="74"/>
  <c r="H49" i="74"/>
  <c r="H46" i="74"/>
  <c r="H45" i="74"/>
  <c r="H44" i="74"/>
  <c r="H43" i="74"/>
  <c r="H42" i="74"/>
  <c r="H41" i="74"/>
  <c r="H40" i="74"/>
  <c r="E37" i="74"/>
  <c r="H36" i="74"/>
  <c r="H33" i="74"/>
  <c r="H32" i="74"/>
  <c r="H30" i="74"/>
  <c r="E30" i="74"/>
  <c r="H29" i="74"/>
  <c r="H28" i="74"/>
  <c r="H27" i="74"/>
  <c r="H26" i="74"/>
  <c r="H25" i="74"/>
  <c r="H24" i="74"/>
  <c r="H23" i="74"/>
  <c r="H22" i="74"/>
  <c r="H20" i="74"/>
  <c r="H19" i="74"/>
  <c r="H18" i="74"/>
  <c r="H17" i="74"/>
  <c r="E13" i="74"/>
  <c r="E12" i="74"/>
  <c r="E11" i="74"/>
  <c r="H86" i="73"/>
  <c r="H84" i="73"/>
  <c r="H83" i="73"/>
  <c r="H81" i="73"/>
  <c r="H80" i="73"/>
  <c r="H79" i="73"/>
  <c r="H78" i="73"/>
  <c r="H77" i="73"/>
  <c r="H74" i="73"/>
  <c r="E67" i="73"/>
  <c r="H66" i="73"/>
  <c r="H65" i="73"/>
  <c r="H64" i="73"/>
  <c r="H62" i="73"/>
  <c r="H60" i="73"/>
  <c r="H59" i="73"/>
  <c r="H58" i="73"/>
  <c r="H56" i="73"/>
  <c r="H55" i="73"/>
  <c r="H54" i="73"/>
  <c r="H53" i="73"/>
  <c r="H52" i="73"/>
  <c r="H51" i="73"/>
  <c r="H50" i="73"/>
  <c r="H49" i="73"/>
  <c r="H46" i="73"/>
  <c r="H45" i="73"/>
  <c r="H44" i="73"/>
  <c r="H43" i="73"/>
  <c r="H42" i="73"/>
  <c r="H41" i="73"/>
  <c r="H40" i="73"/>
  <c r="E37" i="73"/>
  <c r="H36" i="73"/>
  <c r="H33" i="73"/>
  <c r="H32" i="73"/>
  <c r="H30" i="73"/>
  <c r="E30" i="73"/>
  <c r="H29" i="73"/>
  <c r="H28" i="73"/>
  <c r="H27" i="73"/>
  <c r="H26" i="73"/>
  <c r="H25" i="73"/>
  <c r="H24" i="73"/>
  <c r="H23" i="73"/>
  <c r="H22" i="73"/>
  <c r="H20" i="73"/>
  <c r="H19" i="73"/>
  <c r="H18" i="73"/>
  <c r="H17" i="73"/>
  <c r="E13" i="73"/>
  <c r="E12" i="73"/>
  <c r="E11" i="73"/>
  <c r="H85" i="72"/>
  <c r="H83" i="72"/>
  <c r="H82" i="72"/>
  <c r="H80" i="72"/>
  <c r="H79" i="72"/>
  <c r="H78" i="72"/>
  <c r="H77" i="72"/>
  <c r="H76" i="72"/>
  <c r="H73" i="72"/>
  <c r="E66" i="72"/>
  <c r="H65" i="72"/>
  <c r="H64" i="72"/>
  <c r="H63" i="72"/>
  <c r="H61" i="72"/>
  <c r="H59" i="72"/>
  <c r="H58" i="72"/>
  <c r="H57" i="72"/>
  <c r="H55" i="72"/>
  <c r="H54" i="72"/>
  <c r="H53" i="72"/>
  <c r="H52" i="72"/>
  <c r="H51" i="72"/>
  <c r="H50" i="72"/>
  <c r="H49" i="72"/>
  <c r="H48" i="72"/>
  <c r="H45" i="72"/>
  <c r="H44" i="72"/>
  <c r="H43" i="72"/>
  <c r="H42" i="72"/>
  <c r="H41" i="72"/>
  <c r="H40" i="72"/>
  <c r="H39" i="72"/>
  <c r="E36" i="72"/>
  <c r="H35" i="72"/>
  <c r="H32" i="72"/>
  <c r="H31" i="72"/>
  <c r="H29" i="72"/>
  <c r="E29" i="72"/>
  <c r="H28" i="72"/>
  <c r="H27" i="72"/>
  <c r="H26" i="72"/>
  <c r="H25" i="72"/>
  <c r="H24" i="72"/>
  <c r="H23" i="72"/>
  <c r="H22" i="72"/>
  <c r="H21" i="72"/>
  <c r="H19" i="72"/>
  <c r="H18" i="72"/>
  <c r="H17" i="72"/>
  <c r="H16" i="72"/>
  <c r="E12" i="72"/>
  <c r="E11" i="72"/>
  <c r="H86" i="71"/>
  <c r="H84" i="71"/>
  <c r="H83" i="71"/>
  <c r="H81" i="71"/>
  <c r="H80" i="71"/>
  <c r="H79" i="71"/>
  <c r="H78" i="71"/>
  <c r="H77" i="71"/>
  <c r="H74" i="71"/>
  <c r="E67" i="71"/>
  <c r="H66" i="71"/>
  <c r="H65" i="71"/>
  <c r="H64" i="71"/>
  <c r="H62" i="71"/>
  <c r="H60" i="71"/>
  <c r="H59" i="71"/>
  <c r="H58" i="71"/>
  <c r="H56" i="71"/>
  <c r="H55" i="71"/>
  <c r="H54" i="71"/>
  <c r="H53" i="71"/>
  <c r="H52" i="71"/>
  <c r="H51" i="71"/>
  <c r="H50" i="71"/>
  <c r="H49" i="71"/>
  <c r="H46" i="71"/>
  <c r="H45" i="71"/>
  <c r="H44" i="71"/>
  <c r="H43" i="71"/>
  <c r="H42" i="71"/>
  <c r="H41" i="71"/>
  <c r="H40" i="71"/>
  <c r="E37" i="71"/>
  <c r="H36" i="71"/>
  <c r="H33" i="71"/>
  <c r="H32" i="71"/>
  <c r="H30" i="71"/>
  <c r="E30" i="71"/>
  <c r="H29" i="71"/>
  <c r="H28" i="71"/>
  <c r="H27" i="71"/>
  <c r="H26" i="71"/>
  <c r="H25" i="71"/>
  <c r="H24" i="71"/>
  <c r="H23" i="71"/>
  <c r="H22" i="71"/>
  <c r="H20" i="71"/>
  <c r="H19" i="71"/>
  <c r="H18" i="71"/>
  <c r="H17" i="71"/>
  <c r="E13" i="71"/>
  <c r="E12" i="71"/>
  <c r="E11" i="71"/>
  <c r="E10" i="71"/>
  <c r="E9" i="71"/>
  <c r="E8" i="71"/>
  <c r="H86" i="70"/>
  <c r="H84" i="70"/>
  <c r="H83" i="70"/>
  <c r="H81" i="70"/>
  <c r="H80" i="70"/>
  <c r="H79" i="70"/>
  <c r="H78" i="70"/>
  <c r="H77" i="70"/>
  <c r="H74" i="70"/>
  <c r="E67" i="70"/>
  <c r="H66" i="70"/>
  <c r="H65" i="70"/>
  <c r="H64" i="70"/>
  <c r="H62" i="70"/>
  <c r="H60" i="70"/>
  <c r="H59" i="70"/>
  <c r="H58" i="70"/>
  <c r="H56" i="70"/>
  <c r="H55" i="70"/>
  <c r="H54" i="70"/>
  <c r="H53" i="70"/>
  <c r="H52" i="70"/>
  <c r="H51" i="70"/>
  <c r="H50" i="70"/>
  <c r="H49" i="70"/>
  <c r="H46" i="70"/>
  <c r="H45" i="70"/>
  <c r="H44" i="70"/>
  <c r="H43" i="70"/>
  <c r="H42" i="70"/>
  <c r="H41" i="70"/>
  <c r="H40" i="70"/>
  <c r="E37" i="70"/>
  <c r="H36" i="70"/>
  <c r="H33" i="70"/>
  <c r="H32" i="70"/>
  <c r="H30" i="70"/>
  <c r="E30" i="70"/>
  <c r="H29" i="70"/>
  <c r="H28" i="70"/>
  <c r="H27" i="70"/>
  <c r="H26" i="70"/>
  <c r="H25" i="70"/>
  <c r="H24" i="70"/>
  <c r="H23" i="70"/>
  <c r="H22" i="70"/>
  <c r="H20" i="70"/>
  <c r="H19" i="70"/>
  <c r="H18" i="70"/>
  <c r="H17" i="70"/>
  <c r="E13" i="70"/>
  <c r="E12" i="70"/>
  <c r="E11" i="70"/>
  <c r="E10" i="70"/>
  <c r="E9" i="70"/>
  <c r="E8" i="70"/>
  <c r="H86" i="69"/>
  <c r="H84" i="69"/>
  <c r="H83" i="69"/>
  <c r="H81" i="69"/>
  <c r="H80" i="69"/>
  <c r="H79" i="69"/>
  <c r="H78" i="69"/>
  <c r="H77" i="69"/>
  <c r="H74" i="69"/>
  <c r="E67" i="69"/>
  <c r="H66" i="69"/>
  <c r="H65" i="69"/>
  <c r="H64" i="69"/>
  <c r="H62" i="69"/>
  <c r="H60" i="69"/>
  <c r="H59" i="69"/>
  <c r="H58" i="69"/>
  <c r="H56" i="69"/>
  <c r="H55" i="69"/>
  <c r="H54" i="69"/>
  <c r="H53" i="69"/>
  <c r="H52" i="69"/>
  <c r="H51" i="69"/>
  <c r="H50" i="69"/>
  <c r="H49" i="69"/>
  <c r="H46" i="69"/>
  <c r="H45" i="69"/>
  <c r="H44" i="69"/>
  <c r="H43" i="69"/>
  <c r="H42" i="69"/>
  <c r="H41" i="69"/>
  <c r="H40" i="69"/>
  <c r="E37" i="69"/>
  <c r="H36" i="69"/>
  <c r="H33" i="69"/>
  <c r="H32" i="69"/>
  <c r="H30" i="69"/>
  <c r="E30" i="69"/>
  <c r="H29" i="69"/>
  <c r="H28" i="69"/>
  <c r="H27" i="69"/>
  <c r="H26" i="69"/>
  <c r="H25" i="69"/>
  <c r="H24" i="69"/>
  <c r="H23" i="69"/>
  <c r="H22" i="69"/>
  <c r="H20" i="69"/>
  <c r="H19" i="69"/>
  <c r="H18" i="69"/>
  <c r="H17" i="69"/>
  <c r="E13" i="69"/>
  <c r="E12" i="69"/>
  <c r="E10" i="69"/>
  <c r="E9" i="69"/>
  <c r="E8" i="69"/>
  <c r="H86" i="68"/>
  <c r="H84" i="68"/>
  <c r="H83" i="68"/>
  <c r="H81" i="68"/>
  <c r="H80" i="68"/>
  <c r="H79" i="68"/>
  <c r="H78" i="68"/>
  <c r="H77" i="68"/>
  <c r="H74" i="68"/>
  <c r="E67" i="68"/>
  <c r="H66" i="68"/>
  <c r="H65" i="68"/>
  <c r="H64" i="68"/>
  <c r="H62" i="68"/>
  <c r="H60" i="68"/>
  <c r="H59" i="68"/>
  <c r="H58" i="68"/>
  <c r="H56" i="68"/>
  <c r="H55" i="68"/>
  <c r="H54" i="68"/>
  <c r="H53" i="68"/>
  <c r="H52" i="68"/>
  <c r="H51" i="68"/>
  <c r="H50" i="68"/>
  <c r="H49" i="68"/>
  <c r="H46" i="68"/>
  <c r="H45" i="68"/>
  <c r="H44" i="68"/>
  <c r="H43" i="68"/>
  <c r="H42" i="68"/>
  <c r="H41" i="68"/>
  <c r="H40" i="68"/>
  <c r="E37" i="68"/>
  <c r="H36" i="68"/>
  <c r="H33" i="68"/>
  <c r="H32" i="68"/>
  <c r="H30" i="68"/>
  <c r="E30" i="68"/>
  <c r="H29" i="68"/>
  <c r="H28" i="68"/>
  <c r="H27" i="68"/>
  <c r="H26" i="68"/>
  <c r="H25" i="68"/>
  <c r="H24" i="68"/>
  <c r="H23" i="68"/>
  <c r="H22" i="68"/>
  <c r="H20" i="68"/>
  <c r="H19" i="68"/>
  <c r="H18" i="68"/>
  <c r="H17" i="68"/>
  <c r="E13" i="68"/>
  <c r="E12" i="68"/>
  <c r="E11" i="68"/>
  <c r="H86" i="67"/>
  <c r="H84" i="67"/>
  <c r="H83" i="67"/>
  <c r="H81" i="67"/>
  <c r="H80" i="67"/>
  <c r="H79" i="67"/>
  <c r="H78" i="67"/>
  <c r="H77" i="67"/>
  <c r="H74" i="67"/>
  <c r="E67" i="67"/>
  <c r="H66" i="67"/>
  <c r="H65" i="67"/>
  <c r="H64" i="67"/>
  <c r="H62" i="67"/>
  <c r="H60" i="67"/>
  <c r="H59" i="67"/>
  <c r="H58" i="67"/>
  <c r="H56" i="67"/>
  <c r="H55" i="67"/>
  <c r="H54" i="67"/>
  <c r="H53" i="67"/>
  <c r="H52" i="67"/>
  <c r="H51" i="67"/>
  <c r="H50" i="67"/>
  <c r="H49" i="67"/>
  <c r="H46" i="67"/>
  <c r="H45" i="67"/>
  <c r="H44" i="67"/>
  <c r="H43" i="67"/>
  <c r="H42" i="67"/>
  <c r="H41" i="67"/>
  <c r="H40" i="67"/>
  <c r="E37" i="67"/>
  <c r="H36" i="67"/>
  <c r="H33" i="67"/>
  <c r="H32" i="67"/>
  <c r="H30" i="67"/>
  <c r="E30" i="67"/>
  <c r="H29" i="67"/>
  <c r="H28" i="67"/>
  <c r="H27" i="67"/>
  <c r="H26" i="67"/>
  <c r="H25" i="67"/>
  <c r="H24" i="67"/>
  <c r="H23" i="67"/>
  <c r="H22" i="67"/>
  <c r="H20" i="67"/>
  <c r="H19" i="67"/>
  <c r="H18" i="67"/>
  <c r="H17" i="67"/>
  <c r="E13" i="67"/>
  <c r="E12" i="67"/>
  <c r="E11" i="67"/>
  <c r="H86" i="66"/>
  <c r="H84" i="66"/>
  <c r="H83" i="66"/>
  <c r="H81" i="66"/>
  <c r="H80" i="66"/>
  <c r="H79" i="66"/>
  <c r="H78" i="66"/>
  <c r="H77" i="66"/>
  <c r="H74" i="66"/>
  <c r="E67" i="66"/>
  <c r="H66" i="66"/>
  <c r="H65" i="66"/>
  <c r="H64" i="66"/>
  <c r="H62" i="66"/>
  <c r="H60" i="66"/>
  <c r="H59" i="66"/>
  <c r="H58" i="66"/>
  <c r="H56" i="66"/>
  <c r="H55" i="66"/>
  <c r="H54" i="66"/>
  <c r="H53" i="66"/>
  <c r="H52" i="66"/>
  <c r="H51" i="66"/>
  <c r="H50" i="66"/>
  <c r="H49" i="66"/>
  <c r="H46" i="66"/>
  <c r="H45" i="66"/>
  <c r="H44" i="66"/>
  <c r="H43" i="66"/>
  <c r="H42" i="66"/>
  <c r="H41" i="66"/>
  <c r="H40" i="66"/>
  <c r="E37" i="66"/>
  <c r="H36" i="66"/>
  <c r="H33" i="66"/>
  <c r="H32" i="66"/>
  <c r="H30" i="66"/>
  <c r="E30" i="66"/>
  <c r="H29" i="66"/>
  <c r="H28" i="66"/>
  <c r="H27" i="66"/>
  <c r="H26" i="66"/>
  <c r="H25" i="66"/>
  <c r="H24" i="66"/>
  <c r="H23" i="66"/>
  <c r="H22" i="66"/>
  <c r="H20" i="66"/>
  <c r="H19" i="66"/>
  <c r="H18" i="66"/>
  <c r="H17" i="66"/>
  <c r="E13" i="66"/>
  <c r="E12" i="66"/>
  <c r="H86" i="65"/>
  <c r="H84" i="65"/>
  <c r="H83" i="65"/>
  <c r="H81" i="65"/>
  <c r="H80" i="65"/>
  <c r="H79" i="65"/>
  <c r="H78" i="65"/>
  <c r="H77" i="65"/>
  <c r="H74" i="65"/>
  <c r="E67" i="65"/>
  <c r="H66" i="65"/>
  <c r="H65" i="65"/>
  <c r="H64" i="65"/>
  <c r="H62" i="65"/>
  <c r="H60" i="65"/>
  <c r="H59" i="65"/>
  <c r="H58" i="65"/>
  <c r="H56" i="65"/>
  <c r="H55" i="65"/>
  <c r="H54" i="65"/>
  <c r="H53" i="65"/>
  <c r="H52" i="65"/>
  <c r="H51" i="65"/>
  <c r="H50" i="65"/>
  <c r="H49" i="65"/>
  <c r="H46" i="65"/>
  <c r="H45" i="65"/>
  <c r="H44" i="65"/>
  <c r="H43" i="65"/>
  <c r="H42" i="65"/>
  <c r="H41" i="65"/>
  <c r="H40" i="65"/>
  <c r="E37" i="65"/>
  <c r="H36" i="65"/>
  <c r="H33" i="65"/>
  <c r="H32" i="65"/>
  <c r="H30" i="65"/>
  <c r="E30" i="65"/>
  <c r="H29" i="65"/>
  <c r="H28" i="65"/>
  <c r="H27" i="65"/>
  <c r="H26" i="65"/>
  <c r="H25" i="65"/>
  <c r="H24" i="65"/>
  <c r="H23" i="65"/>
  <c r="H22" i="65"/>
  <c r="H20" i="65"/>
  <c r="H19" i="65"/>
  <c r="H18" i="65"/>
  <c r="H17" i="65"/>
  <c r="E13" i="65"/>
  <c r="E12" i="65"/>
  <c r="E11" i="65"/>
  <c r="H86" i="64"/>
  <c r="H84" i="64"/>
  <c r="H83" i="64"/>
  <c r="H81" i="64"/>
  <c r="H80" i="64"/>
  <c r="H79" i="64"/>
  <c r="H78" i="64"/>
  <c r="H77" i="64"/>
  <c r="H74" i="64"/>
  <c r="E67" i="64"/>
  <c r="H66" i="64"/>
  <c r="H65" i="64"/>
  <c r="H64" i="64"/>
  <c r="H62" i="64"/>
  <c r="H60" i="64"/>
  <c r="H59" i="64"/>
  <c r="H58" i="64"/>
  <c r="H56" i="64"/>
  <c r="H55" i="64"/>
  <c r="H54" i="64"/>
  <c r="H53" i="64"/>
  <c r="H52" i="64"/>
  <c r="H51" i="64"/>
  <c r="H50" i="64"/>
  <c r="H49" i="64"/>
  <c r="H46" i="64"/>
  <c r="H45" i="64"/>
  <c r="H44" i="64"/>
  <c r="H43" i="64"/>
  <c r="H42" i="64"/>
  <c r="H41" i="64"/>
  <c r="H40" i="64"/>
  <c r="E37" i="64"/>
  <c r="H36" i="64"/>
  <c r="H33" i="64"/>
  <c r="H32" i="64"/>
  <c r="H30" i="64"/>
  <c r="E30" i="64"/>
  <c r="H29" i="64"/>
  <c r="H28" i="64"/>
  <c r="H27" i="64"/>
  <c r="H26" i="64"/>
  <c r="H25" i="64"/>
  <c r="H24" i="64"/>
  <c r="H23" i="64"/>
  <c r="H22" i="64"/>
  <c r="H20" i="64"/>
  <c r="H19" i="64"/>
  <c r="H18" i="64"/>
  <c r="H17" i="64"/>
  <c r="E13" i="64"/>
  <c r="E12" i="64"/>
  <c r="E11" i="64"/>
  <c r="H86" i="21"/>
  <c r="H84" i="21"/>
  <c r="H83" i="21"/>
  <c r="H81" i="21"/>
  <c r="H80" i="21"/>
  <c r="H79" i="21"/>
  <c r="H78" i="21"/>
  <c r="H77" i="21"/>
  <c r="H74" i="21"/>
  <c r="E67" i="21"/>
  <c r="H66" i="21"/>
  <c r="H65" i="21"/>
  <c r="H64" i="21"/>
  <c r="H62" i="21"/>
  <c r="H60" i="21"/>
  <c r="H59" i="21"/>
  <c r="H58" i="21"/>
  <c r="H56" i="21"/>
  <c r="H55" i="21"/>
  <c r="H54" i="21"/>
  <c r="H53" i="21"/>
  <c r="H52" i="21"/>
  <c r="H51" i="21"/>
  <c r="H50" i="21"/>
  <c r="H49" i="21"/>
  <c r="H46" i="21"/>
  <c r="H45" i="21"/>
  <c r="H44" i="21"/>
  <c r="H43" i="21"/>
  <c r="H42" i="21"/>
  <c r="H41" i="21"/>
  <c r="H40" i="21"/>
  <c r="E37" i="21"/>
  <c r="H36" i="21"/>
  <c r="H33" i="21"/>
  <c r="H32" i="21"/>
  <c r="H30" i="21"/>
  <c r="E30" i="21"/>
  <c r="H29" i="21"/>
  <c r="H28" i="21"/>
  <c r="H27" i="21"/>
  <c r="H26" i="21"/>
  <c r="H25" i="21"/>
  <c r="H24" i="21"/>
  <c r="H23" i="21"/>
  <c r="H22" i="21"/>
  <c r="H20" i="21"/>
  <c r="H19" i="21"/>
  <c r="H18" i="21"/>
  <c r="H17" i="21"/>
  <c r="E13" i="21"/>
  <c r="E12" i="21"/>
  <c r="H87" i="62"/>
  <c r="H85" i="62"/>
  <c r="H84" i="62"/>
  <c r="H82" i="62"/>
  <c r="H81" i="62"/>
  <c r="H80" i="62"/>
  <c r="H79" i="62"/>
  <c r="H78" i="62"/>
  <c r="H75" i="62"/>
  <c r="H74" i="62"/>
  <c r="H73" i="62"/>
  <c r="E68" i="62"/>
  <c r="H67" i="62"/>
  <c r="H66" i="62"/>
  <c r="H65" i="62"/>
  <c r="H63" i="62"/>
  <c r="H61" i="62"/>
  <c r="H60" i="62"/>
  <c r="H59" i="62"/>
  <c r="H57" i="62"/>
  <c r="H56" i="62"/>
  <c r="H55" i="62"/>
  <c r="H54" i="62"/>
  <c r="H53" i="62"/>
  <c r="H52" i="62"/>
  <c r="H51" i="62"/>
  <c r="H50" i="62"/>
  <c r="H47" i="62"/>
  <c r="H46" i="62"/>
  <c r="H45" i="62"/>
  <c r="H44" i="62"/>
  <c r="H43" i="62"/>
  <c r="H42" i="62"/>
  <c r="H41" i="62"/>
  <c r="E38" i="62"/>
  <c r="H37" i="62"/>
  <c r="H34" i="62"/>
  <c r="H33" i="62"/>
  <c r="H32" i="62"/>
  <c r="H30" i="62"/>
  <c r="E30" i="62"/>
  <c r="H29" i="62"/>
  <c r="H28" i="62"/>
  <c r="H27" i="62"/>
  <c r="H26" i="62"/>
  <c r="H25" i="62"/>
  <c r="H24" i="62"/>
  <c r="H23" i="62"/>
  <c r="H22" i="62"/>
  <c r="H20" i="62"/>
  <c r="H19" i="62"/>
  <c r="H18" i="62"/>
  <c r="H17" i="62"/>
  <c r="E13" i="62"/>
  <c r="E12" i="62"/>
  <c r="H87" i="20"/>
  <c r="H85" i="20"/>
  <c r="H84" i="20"/>
  <c r="H82" i="20"/>
  <c r="H81" i="20"/>
  <c r="H80" i="20"/>
  <c r="H79" i="20"/>
  <c r="H78" i="20"/>
  <c r="H75" i="20"/>
  <c r="H74" i="20"/>
  <c r="H73" i="20"/>
  <c r="E68" i="20"/>
  <c r="H67" i="20"/>
  <c r="H66" i="20"/>
  <c r="H65" i="20"/>
  <c r="H63" i="20"/>
  <c r="H61" i="20"/>
  <c r="H60" i="20"/>
  <c r="H59" i="20"/>
  <c r="H57" i="20"/>
  <c r="H56" i="20"/>
  <c r="H55" i="20"/>
  <c r="H54" i="20"/>
  <c r="H53" i="20"/>
  <c r="H52" i="20"/>
  <c r="H51" i="20"/>
  <c r="H50" i="20"/>
  <c r="H47" i="20"/>
  <c r="H46" i="20"/>
  <c r="H45" i="20"/>
  <c r="H44" i="20"/>
  <c r="H43" i="20"/>
  <c r="H42" i="20"/>
  <c r="H41" i="20"/>
  <c r="E38" i="20"/>
  <c r="H37" i="20"/>
  <c r="H34" i="20"/>
  <c r="H33" i="20"/>
  <c r="H32" i="20"/>
  <c r="H30" i="20"/>
  <c r="E30" i="20"/>
  <c r="H29" i="20"/>
  <c r="H28" i="20"/>
  <c r="H27" i="20"/>
  <c r="H26" i="20"/>
  <c r="H25" i="20"/>
  <c r="H24" i="20"/>
  <c r="H23" i="20"/>
  <c r="H22" i="20"/>
  <c r="H20" i="20"/>
  <c r="H19" i="20"/>
  <c r="H18" i="20"/>
  <c r="H17" i="20"/>
  <c r="E13" i="20"/>
  <c r="E12" i="20"/>
  <c r="H86" i="61"/>
  <c r="H84" i="61"/>
  <c r="H83" i="61"/>
  <c r="H81" i="61"/>
  <c r="H80" i="61"/>
  <c r="H79" i="61"/>
  <c r="H78" i="61"/>
  <c r="H77" i="61"/>
  <c r="H74" i="61"/>
  <c r="H73" i="61"/>
  <c r="E67" i="61"/>
  <c r="H66" i="61"/>
  <c r="H65" i="61"/>
  <c r="H64" i="61"/>
  <c r="H62" i="61"/>
  <c r="H60" i="61"/>
  <c r="H59" i="61"/>
  <c r="H58" i="61"/>
  <c r="H56" i="61"/>
  <c r="H55" i="61"/>
  <c r="H54" i="61"/>
  <c r="H53" i="61"/>
  <c r="H52" i="61"/>
  <c r="H51" i="61"/>
  <c r="H50" i="61"/>
  <c r="H49" i="61"/>
  <c r="H46" i="61"/>
  <c r="H45" i="61"/>
  <c r="H44" i="61"/>
  <c r="H43" i="61"/>
  <c r="H42" i="61"/>
  <c r="H41" i="61"/>
  <c r="H40" i="61"/>
  <c r="E37" i="61"/>
  <c r="H36" i="61"/>
  <c r="H33" i="61"/>
  <c r="H32" i="61"/>
  <c r="H30" i="61"/>
  <c r="E30" i="61"/>
  <c r="H29" i="61"/>
  <c r="H28" i="61"/>
  <c r="H27" i="61"/>
  <c r="H26" i="61"/>
  <c r="H25" i="61"/>
  <c r="H24" i="61"/>
  <c r="H23" i="61"/>
  <c r="H22" i="61"/>
  <c r="H20" i="61"/>
  <c r="H19" i="61"/>
  <c r="H18" i="61"/>
  <c r="H17" i="61"/>
  <c r="E13" i="61"/>
  <c r="E12" i="61"/>
  <c r="E10" i="61"/>
  <c r="E9" i="61"/>
  <c r="E8" i="61"/>
  <c r="H86" i="59"/>
  <c r="H84" i="59"/>
  <c r="H83" i="59"/>
  <c r="H81" i="59"/>
  <c r="H80" i="59"/>
  <c r="H79" i="59"/>
  <c r="H78" i="59"/>
  <c r="H77" i="59"/>
  <c r="H74" i="59"/>
  <c r="H73" i="59"/>
  <c r="E67" i="59"/>
  <c r="H66" i="59"/>
  <c r="H65" i="59"/>
  <c r="H64" i="59"/>
  <c r="H62" i="59"/>
  <c r="H60" i="59"/>
  <c r="H59" i="59"/>
  <c r="H58" i="59"/>
  <c r="H56" i="59"/>
  <c r="H55" i="59"/>
  <c r="H54" i="59"/>
  <c r="H53" i="59"/>
  <c r="H52" i="59"/>
  <c r="H51" i="59"/>
  <c r="H50" i="59"/>
  <c r="H49" i="59"/>
  <c r="H46" i="59"/>
  <c r="H45" i="59"/>
  <c r="H44" i="59"/>
  <c r="H43" i="59"/>
  <c r="H42" i="59"/>
  <c r="H41" i="59"/>
  <c r="H40" i="59"/>
  <c r="E37" i="59"/>
  <c r="H36" i="59"/>
  <c r="H33" i="59"/>
  <c r="H32" i="59"/>
  <c r="H30" i="59"/>
  <c r="E30" i="59"/>
  <c r="H29" i="59"/>
  <c r="H28" i="59"/>
  <c r="H27" i="59"/>
  <c r="H26" i="59"/>
  <c r="H25" i="59"/>
  <c r="H24" i="59"/>
  <c r="H23" i="59"/>
  <c r="H22" i="59"/>
  <c r="H20" i="59"/>
  <c r="H19" i="59"/>
  <c r="H18" i="59"/>
  <c r="H17" i="59"/>
  <c r="E13" i="59"/>
  <c r="E12" i="59"/>
  <c r="H86" i="60"/>
  <c r="H84" i="60"/>
  <c r="H83" i="60"/>
  <c r="H81" i="60"/>
  <c r="H80" i="60"/>
  <c r="H79" i="60"/>
  <c r="H78" i="60"/>
  <c r="H77" i="60"/>
  <c r="H74" i="60"/>
  <c r="H73" i="60"/>
  <c r="E67" i="60"/>
  <c r="H66" i="60"/>
  <c r="H65" i="60"/>
  <c r="H64" i="60"/>
  <c r="H62" i="60"/>
  <c r="H60" i="60"/>
  <c r="H59" i="60"/>
  <c r="H58" i="60"/>
  <c r="H56" i="60"/>
  <c r="H55" i="60"/>
  <c r="H54" i="60"/>
  <c r="H53" i="60"/>
  <c r="H52" i="60"/>
  <c r="H51" i="60"/>
  <c r="H50" i="60"/>
  <c r="H49" i="60"/>
  <c r="H46" i="60"/>
  <c r="H45" i="60"/>
  <c r="H44" i="60"/>
  <c r="H43" i="60"/>
  <c r="H42" i="60"/>
  <c r="H41" i="60"/>
  <c r="H40" i="60"/>
  <c r="E37" i="60"/>
  <c r="H36" i="60"/>
  <c r="H33" i="60"/>
  <c r="H32" i="60"/>
  <c r="H30" i="60"/>
  <c r="E30" i="60"/>
  <c r="H29" i="60"/>
  <c r="H28" i="60"/>
  <c r="H27" i="60"/>
  <c r="H26" i="60"/>
  <c r="H25" i="60"/>
  <c r="H24" i="60"/>
  <c r="H23" i="60"/>
  <c r="H22" i="60"/>
  <c r="H20" i="60"/>
  <c r="H19" i="60"/>
  <c r="H18" i="60"/>
  <c r="H17" i="60"/>
  <c r="E13" i="60"/>
  <c r="E12" i="60"/>
  <c r="H86" i="58"/>
  <c r="H84" i="58"/>
  <c r="H83" i="58"/>
  <c r="H81" i="58"/>
  <c r="H80" i="58"/>
  <c r="H79" i="58"/>
  <c r="H78" i="58"/>
  <c r="H77" i="58"/>
  <c r="H74" i="58"/>
  <c r="H73" i="58"/>
  <c r="E67" i="58"/>
  <c r="H66" i="58"/>
  <c r="H65" i="58"/>
  <c r="H64" i="58"/>
  <c r="H62" i="58"/>
  <c r="H60" i="58"/>
  <c r="H59" i="58"/>
  <c r="H58" i="58"/>
  <c r="H56" i="58"/>
  <c r="H55" i="58"/>
  <c r="H54" i="58"/>
  <c r="H53" i="58"/>
  <c r="H52" i="58"/>
  <c r="H51" i="58"/>
  <c r="H50" i="58"/>
  <c r="H49" i="58"/>
  <c r="H46" i="58"/>
  <c r="H45" i="58"/>
  <c r="H44" i="58"/>
  <c r="H43" i="58"/>
  <c r="H42" i="58"/>
  <c r="H41" i="58"/>
  <c r="H40" i="58"/>
  <c r="E37" i="58"/>
  <c r="H36" i="58"/>
  <c r="H33" i="58"/>
  <c r="H32" i="58"/>
  <c r="H30" i="58"/>
  <c r="E30" i="58"/>
  <c r="H29" i="58"/>
  <c r="H28" i="58"/>
  <c r="H27" i="58"/>
  <c r="H26" i="58"/>
  <c r="H25" i="58"/>
  <c r="H24" i="58"/>
  <c r="H23" i="58"/>
  <c r="H22" i="58"/>
  <c r="H20" i="58"/>
  <c r="H19" i="58"/>
  <c r="H18" i="58"/>
  <c r="H17" i="58"/>
  <c r="E13" i="58"/>
  <c r="E12" i="58"/>
  <c r="H87" i="17"/>
  <c r="H84" i="17"/>
  <c r="H83" i="17"/>
  <c r="H81" i="17"/>
  <c r="H80" i="17"/>
  <c r="H79" i="17"/>
  <c r="H78" i="17"/>
  <c r="H77" i="17"/>
  <c r="H74" i="17"/>
  <c r="H73" i="17"/>
  <c r="E67" i="17"/>
  <c r="H66" i="17"/>
  <c r="H65" i="17"/>
  <c r="H64" i="17"/>
  <c r="H62" i="17"/>
  <c r="H60" i="17"/>
  <c r="H59" i="17"/>
  <c r="H58" i="17"/>
  <c r="H56" i="17"/>
  <c r="H55" i="17"/>
  <c r="H54" i="17"/>
  <c r="H53" i="17"/>
  <c r="H52" i="17"/>
  <c r="H51" i="17"/>
  <c r="H50" i="17"/>
  <c r="H49" i="17"/>
  <c r="H46" i="17"/>
  <c r="H45" i="17"/>
  <c r="H44" i="17"/>
  <c r="H43" i="17"/>
  <c r="H42" i="17"/>
  <c r="H41" i="17"/>
  <c r="H40" i="17"/>
  <c r="E37" i="17"/>
  <c r="H36" i="17"/>
  <c r="H33" i="17"/>
  <c r="H32" i="17"/>
  <c r="H30" i="17"/>
  <c r="E30" i="17"/>
  <c r="H29" i="17"/>
  <c r="H28" i="17"/>
  <c r="H27" i="17"/>
  <c r="H26" i="17"/>
  <c r="H25" i="17"/>
  <c r="H24" i="17"/>
  <c r="H23" i="17"/>
  <c r="H22" i="17"/>
  <c r="H20" i="17"/>
  <c r="H19" i="17"/>
  <c r="H18" i="17"/>
  <c r="H17" i="17"/>
  <c r="E13" i="17"/>
  <c r="E12" i="17"/>
  <c r="F14" i="31"/>
  <c r="H94" i="30"/>
  <c r="H92" i="30"/>
  <c r="H91" i="30"/>
  <c r="H89" i="30"/>
  <c r="H88" i="30"/>
  <c r="H87" i="30"/>
  <c r="H86" i="30"/>
  <c r="H85" i="30"/>
  <c r="H82" i="30"/>
  <c r="E75" i="30"/>
  <c r="E38" i="30"/>
  <c r="H27" i="30"/>
  <c r="C231" i="32"/>
  <c r="C230" i="32"/>
  <c r="C229" i="32"/>
  <c r="C228" i="32"/>
  <c r="C227" i="32"/>
  <c r="C226" i="32"/>
  <c r="C225" i="32"/>
  <c r="C224" i="32"/>
  <c r="C223" i="32"/>
  <c r="C222" i="32"/>
  <c r="C221" i="32"/>
  <c r="C220" i="32"/>
  <c r="C219" i="32"/>
  <c r="C218" i="32"/>
  <c r="C217" i="32"/>
  <c r="C216" i="32"/>
  <c r="C215" i="32"/>
  <c r="C214" i="32"/>
  <c r="C213" i="32"/>
  <c r="C212" i="32"/>
  <c r="C211" i="32"/>
  <c r="C210" i="32"/>
  <c r="C209" i="32"/>
  <c r="C208" i="32"/>
  <c r="C207" i="32"/>
  <c r="C206" i="32"/>
  <c r="C205" i="32"/>
  <c r="C204" i="32"/>
  <c r="C203" i="32"/>
  <c r="C202" i="32"/>
  <c r="C201" i="32"/>
  <c r="C200" i="32"/>
  <c r="C199" i="32"/>
  <c r="C198" i="32"/>
  <c r="C197" i="32"/>
  <c r="C196" i="32"/>
  <c r="C195" i="32"/>
  <c r="C194" i="32"/>
  <c r="C193" i="32"/>
  <c r="C192" i="32"/>
  <c r="C191" i="32"/>
  <c r="C190" i="32"/>
  <c r="C189" i="32"/>
  <c r="C188" i="32"/>
  <c r="C187" i="32"/>
  <c r="C186" i="32"/>
  <c r="C185" i="32"/>
  <c r="C184" i="32"/>
  <c r="C183" i="32"/>
  <c r="C182" i="32"/>
  <c r="C181" i="32"/>
  <c r="C180" i="32"/>
  <c r="C179" i="32"/>
  <c r="C178" i="32"/>
  <c r="C177" i="32"/>
  <c r="C176" i="32"/>
  <c r="C175" i="32"/>
  <c r="C174" i="32"/>
  <c r="C173" i="32"/>
  <c r="C172" i="32"/>
  <c r="C171" i="32"/>
  <c r="C170" i="32"/>
  <c r="C169" i="32"/>
  <c r="C168" i="32"/>
  <c r="C167" i="32"/>
  <c r="C166" i="32"/>
  <c r="C165" i="32"/>
  <c r="C164" i="32"/>
  <c r="C163" i="32"/>
  <c r="C162" i="32"/>
  <c r="C161" i="32"/>
  <c r="C160" i="32"/>
  <c r="C159" i="32"/>
  <c r="C158" i="32"/>
  <c r="C152" i="32"/>
  <c r="C151" i="32"/>
  <c r="C150" i="32"/>
  <c r="C149" i="32"/>
  <c r="C148" i="32"/>
  <c r="C147" i="32"/>
  <c r="C146" i="32"/>
  <c r="C145" i="32"/>
  <c r="C144" i="32"/>
  <c r="C143" i="32"/>
  <c r="C142" i="32"/>
  <c r="C141" i="32"/>
  <c r="C140" i="32"/>
  <c r="C139" i="32"/>
  <c r="C138" i="32"/>
  <c r="C137" i="32"/>
  <c r="C136" i="32"/>
  <c r="C135" i="32"/>
  <c r="C134" i="32"/>
  <c r="C133" i="32"/>
  <c r="C132" i="32"/>
  <c r="C131" i="32"/>
  <c r="C130" i="32"/>
  <c r="C129" i="32"/>
  <c r="C128" i="32"/>
  <c r="C127" i="32"/>
  <c r="C126" i="32"/>
  <c r="C125" i="32"/>
  <c r="C124" i="32"/>
  <c r="C123" i="32"/>
  <c r="C122" i="32"/>
  <c r="C121" i="32"/>
  <c r="C120" i="32"/>
  <c r="C119" i="32"/>
  <c r="C118" i="32"/>
  <c r="C117" i="32"/>
  <c r="C116" i="32"/>
  <c r="C115" i="32"/>
  <c r="C114" i="32"/>
  <c r="C113" i="32"/>
  <c r="C112" i="32"/>
  <c r="C111" i="32"/>
  <c r="C110" i="32"/>
  <c r="C109" i="32"/>
  <c r="C108" i="32"/>
  <c r="C107" i="32"/>
  <c r="C106" i="32"/>
  <c r="C105" i="32"/>
  <c r="C104" i="32"/>
  <c r="C103" i="32"/>
  <c r="C102" i="32"/>
  <c r="C101" i="32"/>
  <c r="C100" i="32"/>
  <c r="C99" i="32"/>
  <c r="C98" i="32"/>
  <c r="C97" i="32"/>
  <c r="C96" i="32"/>
  <c r="C95" i="32"/>
  <c r="C94" i="32"/>
  <c r="C93" i="32"/>
  <c r="C92" i="32"/>
  <c r="C91" i="32"/>
  <c r="C90" i="32"/>
  <c r="C89" i="32"/>
  <c r="C88" i="32"/>
  <c r="C87" i="32"/>
  <c r="C86" i="32"/>
  <c r="C85" i="32"/>
  <c r="C84" i="32"/>
  <c r="C83" i="32"/>
  <c r="C82" i="32"/>
  <c r="C81" i="32"/>
  <c r="C80" i="32"/>
  <c r="C79" i="32"/>
  <c r="L75" i="32"/>
  <c r="K75" i="32"/>
  <c r="J75" i="32"/>
  <c r="I75" i="32"/>
  <c r="H75" i="32" a="1"/>
  <c r="H75" i="32"/>
  <c r="L74" i="32"/>
  <c r="K74" i="32"/>
  <c r="H74" i="32"/>
  <c r="G74" i="32"/>
  <c r="L73" i="32"/>
  <c r="K73" i="32"/>
  <c r="H73" i="32"/>
  <c r="G73" i="32"/>
  <c r="L72" i="32"/>
  <c r="K72" i="32"/>
  <c r="H72" i="32"/>
  <c r="G72" i="32"/>
  <c r="L71" i="32"/>
  <c r="K71" i="32"/>
  <c r="L70" i="32"/>
  <c r="K70" i="32"/>
  <c r="I70" i="32"/>
  <c r="H70" i="32"/>
  <c r="L69" i="32"/>
  <c r="K69" i="32"/>
  <c r="I69" i="32"/>
  <c r="H69" i="32"/>
  <c r="L68" i="32"/>
  <c r="K68" i="32"/>
  <c r="I68" i="32"/>
  <c r="H68" i="32"/>
  <c r="L67" i="32"/>
  <c r="K67" i="32"/>
  <c r="I67" i="32"/>
  <c r="H67" i="32"/>
  <c r="L66" i="32"/>
  <c r="K66" i="32"/>
  <c r="I66" i="32"/>
  <c r="H66" i="32"/>
  <c r="L65" i="32"/>
  <c r="K65" i="32"/>
  <c r="I65" i="32"/>
  <c r="H65" i="32"/>
  <c r="L64" i="32"/>
  <c r="K64" i="32"/>
  <c r="I64" i="32"/>
  <c r="H64" i="32"/>
  <c r="G64" i="32"/>
  <c r="L63" i="32"/>
  <c r="K63" i="32"/>
  <c r="H63" i="32"/>
  <c r="L62" i="32"/>
  <c r="K62" i="32"/>
  <c r="I62" i="32"/>
  <c r="H62" i="32"/>
  <c r="L61" i="32"/>
  <c r="K61" i="32"/>
  <c r="I61" i="32"/>
  <c r="H61" i="32"/>
  <c r="L60" i="32"/>
  <c r="K60" i="32"/>
  <c r="I60" i="32"/>
  <c r="H60" i="32"/>
  <c r="G60" i="32"/>
  <c r="L59" i="32"/>
  <c r="K59" i="32"/>
  <c r="I59" i="32"/>
  <c r="H59" i="32"/>
  <c r="L58" i="32"/>
  <c r="K58" i="32"/>
  <c r="I58" i="32"/>
  <c r="H58" i="32"/>
  <c r="L57" i="32"/>
  <c r="K57" i="32"/>
  <c r="I57" i="32"/>
  <c r="H57" i="32"/>
  <c r="L56" i="32"/>
  <c r="K56" i="32"/>
  <c r="I56" i="32"/>
  <c r="H56" i="32"/>
  <c r="L55" i="32"/>
  <c r="K55" i="32"/>
  <c r="I55" i="32"/>
  <c r="H55" i="32"/>
  <c r="L54" i="32"/>
  <c r="K54" i="32"/>
  <c r="I54" i="32"/>
  <c r="H54" i="32"/>
  <c r="L53" i="32"/>
  <c r="K53" i="32"/>
  <c r="I53" i="32"/>
  <c r="H53" i="32"/>
  <c r="L52" i="32"/>
  <c r="K52" i="32"/>
  <c r="I52" i="32"/>
  <c r="H52" i="32"/>
  <c r="L51" i="32"/>
  <c r="K51" i="32"/>
  <c r="I51" i="32"/>
  <c r="H51" i="32"/>
  <c r="L50" i="32"/>
  <c r="K50" i="32"/>
  <c r="I50" i="32"/>
  <c r="H50" i="32"/>
  <c r="L49" i="32"/>
  <c r="K49" i="32"/>
  <c r="I49" i="32"/>
  <c r="H49" i="32"/>
  <c r="L48" i="32"/>
  <c r="K48" i="32"/>
  <c r="I48" i="32"/>
  <c r="H48" i="32"/>
  <c r="L47" i="32"/>
  <c r="K47" i="32"/>
  <c r="I47" i="32"/>
  <c r="H47" i="32"/>
  <c r="L46" i="32"/>
  <c r="K46" i="32"/>
  <c r="I46" i="32"/>
  <c r="H46" i="32"/>
  <c r="L45" i="32"/>
  <c r="K45" i="32"/>
  <c r="I45" i="32"/>
  <c r="H45" i="32"/>
  <c r="L44" i="32"/>
  <c r="K44" i="32"/>
  <c r="I44" i="32"/>
  <c r="H44" i="32"/>
  <c r="L43" i="32"/>
  <c r="K43" i="32"/>
  <c r="I43" i="32"/>
  <c r="H43" i="32"/>
  <c r="L42" i="32"/>
  <c r="K42" i="32"/>
  <c r="I42" i="32"/>
  <c r="H42" i="32"/>
  <c r="L41" i="32"/>
  <c r="K41" i="32"/>
  <c r="I41" i="32"/>
  <c r="H41" i="32"/>
  <c r="L40" i="32"/>
  <c r="K40" i="32"/>
  <c r="I40" i="32"/>
  <c r="H40" i="32"/>
  <c r="L39" i="32"/>
  <c r="K39" i="32"/>
  <c r="I39" i="32"/>
  <c r="H39" i="32"/>
  <c r="L38" i="32"/>
  <c r="K38" i="32"/>
  <c r="I38" i="32"/>
  <c r="H38" i="32"/>
  <c r="L37" i="32"/>
  <c r="K37" i="32"/>
  <c r="I37" i="32"/>
  <c r="H37" i="32"/>
  <c r="L36" i="32"/>
  <c r="K36" i="32"/>
  <c r="I36" i="32"/>
  <c r="H36" i="32"/>
  <c r="L35" i="32"/>
  <c r="K35" i="32"/>
  <c r="I35" i="32"/>
  <c r="H35" i="32"/>
  <c r="L34" i="32"/>
  <c r="K34" i="32"/>
  <c r="I34" i="32"/>
  <c r="H34" i="32"/>
  <c r="L33" i="32"/>
  <c r="K33" i="32"/>
  <c r="I33" i="32"/>
  <c r="H33" i="32"/>
  <c r="L32" i="32"/>
  <c r="K32" i="32"/>
  <c r="I32" i="32"/>
  <c r="H32" i="32"/>
  <c r="L31" i="32"/>
  <c r="K31" i="32"/>
  <c r="I31" i="32"/>
  <c r="H31" i="32"/>
  <c r="L30" i="32"/>
  <c r="K30" i="32"/>
  <c r="I30" i="32"/>
  <c r="H30" i="32"/>
  <c r="L29" i="32"/>
  <c r="K29" i="32"/>
  <c r="I29" i="32"/>
  <c r="H29" i="32"/>
  <c r="L28" i="32"/>
  <c r="K28" i="32"/>
  <c r="I28" i="32"/>
  <c r="H28" i="32"/>
  <c r="L27" i="32"/>
  <c r="K27" i="32"/>
  <c r="I27" i="32"/>
  <c r="H27" i="32"/>
  <c r="L26" i="32"/>
  <c r="K26" i="32"/>
  <c r="I26" i="32"/>
  <c r="H26" i="32"/>
  <c r="G26" i="32"/>
  <c r="L25" i="32"/>
  <c r="K25" i="32"/>
  <c r="I25" i="32"/>
  <c r="H25" i="32"/>
  <c r="L24" i="32"/>
  <c r="K24" i="32"/>
  <c r="I24" i="32"/>
  <c r="H24" i="32"/>
  <c r="L23" i="32"/>
  <c r="K23" i="32"/>
  <c r="I23" i="32"/>
  <c r="H23" i="32"/>
  <c r="L22" i="32"/>
  <c r="K22" i="32"/>
  <c r="I22" i="32"/>
  <c r="H22" i="32"/>
  <c r="L21" i="32"/>
  <c r="K21" i="32"/>
  <c r="I21" i="32"/>
  <c r="H21" i="32"/>
  <c r="L20" i="32"/>
  <c r="K20" i="32"/>
  <c r="I20" i="32"/>
  <c r="H20" i="32"/>
  <c r="L19" i="32"/>
  <c r="K19" i="32"/>
  <c r="I19" i="32"/>
  <c r="H19" i="32"/>
  <c r="L18" i="32"/>
  <c r="K18" i="32"/>
  <c r="I18" i="32"/>
  <c r="H18" i="32"/>
  <c r="L17" i="32"/>
  <c r="K17" i="32"/>
  <c r="I17" i="32"/>
  <c r="H17" i="32"/>
  <c r="L16" i="32"/>
  <c r="K16" i="32"/>
  <c r="I16" i="32"/>
  <c r="H16" i="32"/>
  <c r="L15" i="32"/>
  <c r="K15" i="32"/>
  <c r="I15" i="32"/>
  <c r="H15" i="32"/>
  <c r="L14" i="32"/>
  <c r="K14" i="32"/>
  <c r="I14" i="32"/>
  <c r="H14" i="32"/>
  <c r="L13" i="32"/>
  <c r="K13" i="32"/>
  <c r="I13" i="32"/>
  <c r="H13" i="32"/>
  <c r="L12" i="32"/>
  <c r="K12" i="32"/>
  <c r="I12" i="32"/>
  <c r="H12" i="32"/>
  <c r="L11" i="32"/>
  <c r="K11" i="32"/>
  <c r="I11" i="32"/>
  <c r="H11" i="32"/>
  <c r="L10" i="32"/>
  <c r="K10" i="32"/>
  <c r="I10" i="32"/>
  <c r="H10" i="32"/>
  <c r="L9" i="32"/>
  <c r="K9" i="32"/>
  <c r="I9" i="32"/>
  <c r="H9" i="32"/>
  <c r="L8" i="32"/>
  <c r="K8" i="32"/>
  <c r="I8" i="32"/>
  <c r="H8" i="32"/>
  <c r="L7" i="32"/>
  <c r="K7" i="32"/>
  <c r="I7" i="32"/>
  <c r="H7" i="32"/>
  <c r="L6" i="32"/>
  <c r="K6" i="32"/>
  <c r="I6" i="32"/>
  <c r="H6" i="32"/>
  <c r="L5" i="32"/>
  <c r="K5" i="32"/>
  <c r="I5" i="32"/>
  <c r="H5" i="32"/>
  <c r="L4" i="32"/>
  <c r="K4" i="32"/>
  <c r="I4" i="32"/>
  <c r="H4" i="32"/>
  <c r="L3" i="32"/>
  <c r="K3" i="32"/>
  <c r="I3" i="32"/>
  <c r="H3" i="32"/>
  <c r="L2" i="32"/>
  <c r="K2" i="32"/>
  <c r="I2" i="32"/>
  <c r="H2" i="32"/>
  <c r="M78" i="4"/>
  <c r="M77" i="4"/>
  <c r="M76" i="4"/>
  <c r="G76" i="4"/>
  <c r="F76" i="4"/>
  <c r="M75" i="4"/>
  <c r="G75" i="4"/>
  <c r="F75" i="4"/>
  <c r="M74" i="4"/>
  <c r="G74" i="4"/>
  <c r="F74" i="4"/>
  <c r="M73" i="4"/>
  <c r="G73" i="4"/>
  <c r="F73" i="4"/>
  <c r="M72" i="4"/>
  <c r="M71" i="4"/>
  <c r="G71" i="4"/>
  <c r="M70" i="4"/>
  <c r="G70" i="4"/>
  <c r="M69" i="4"/>
  <c r="G69" i="4"/>
  <c r="M68" i="4"/>
  <c r="G68" i="4"/>
  <c r="M67" i="4"/>
  <c r="G67" i="4"/>
  <c r="M66" i="4"/>
  <c r="G66" i="4"/>
  <c r="M65" i="4"/>
  <c r="G65" i="4"/>
  <c r="F65" i="4"/>
  <c r="M64" i="4"/>
  <c r="G64" i="4"/>
  <c r="M63" i="4"/>
  <c r="G63" i="4"/>
  <c r="F63" i="4"/>
  <c r="M62" i="4"/>
  <c r="G62" i="4"/>
  <c r="F62" i="4"/>
  <c r="M61" i="4"/>
  <c r="G61" i="4"/>
  <c r="F61" i="4"/>
  <c r="M60" i="4"/>
  <c r="G60" i="4"/>
  <c r="F60" i="4"/>
  <c r="M59" i="4"/>
  <c r="G59" i="4"/>
  <c r="F59" i="4"/>
  <c r="M58" i="4"/>
  <c r="G58" i="4"/>
  <c r="F58" i="4"/>
  <c r="M57" i="4"/>
  <c r="G57" i="4"/>
  <c r="M56" i="4"/>
  <c r="G56" i="4"/>
  <c r="M55" i="4"/>
  <c r="G55" i="4"/>
  <c r="F55" i="4"/>
  <c r="M54" i="4"/>
  <c r="G54" i="4"/>
  <c r="M53" i="4"/>
  <c r="G53" i="4"/>
  <c r="M52" i="4"/>
  <c r="G52" i="4"/>
  <c r="M51" i="4"/>
  <c r="G51" i="4"/>
  <c r="M50" i="4"/>
  <c r="G50" i="4"/>
  <c r="M49" i="4"/>
  <c r="G49" i="4"/>
  <c r="M48" i="4"/>
  <c r="G48" i="4"/>
  <c r="M47" i="4"/>
  <c r="G47" i="4"/>
  <c r="M46" i="4"/>
  <c r="G46" i="4"/>
  <c r="M45" i="4"/>
  <c r="G45" i="4"/>
  <c r="M44" i="4"/>
  <c r="G44" i="4"/>
  <c r="M43" i="4"/>
  <c r="G43" i="4"/>
  <c r="M42" i="4"/>
  <c r="G42" i="4"/>
  <c r="M41" i="4"/>
  <c r="G41" i="4"/>
  <c r="M40" i="4"/>
  <c r="G40" i="4"/>
  <c r="M39" i="4"/>
  <c r="G39" i="4"/>
  <c r="M38" i="4"/>
  <c r="G38" i="4"/>
  <c r="M37" i="4"/>
  <c r="G37" i="4"/>
  <c r="M36" i="4"/>
  <c r="G36" i="4"/>
  <c r="M35" i="4"/>
  <c r="G35" i="4"/>
  <c r="M34" i="4"/>
  <c r="G34" i="4"/>
  <c r="M33" i="4"/>
  <c r="G33" i="4"/>
  <c r="M32" i="4"/>
  <c r="G32" i="4"/>
  <c r="M31" i="4"/>
  <c r="G31" i="4"/>
  <c r="M30" i="4"/>
  <c r="G30" i="4"/>
  <c r="M29" i="4"/>
  <c r="G29" i="4"/>
  <c r="M28" i="4"/>
  <c r="G28" i="4"/>
  <c r="M27" i="4"/>
  <c r="G27" i="4"/>
  <c r="M26" i="4"/>
  <c r="G26" i="4"/>
  <c r="M25" i="4"/>
  <c r="G25" i="4"/>
  <c r="M24" i="4"/>
  <c r="G24" i="4"/>
  <c r="M23" i="4"/>
  <c r="G23" i="4"/>
  <c r="M22" i="4"/>
  <c r="G22" i="4"/>
  <c r="M21" i="4"/>
  <c r="G21" i="4"/>
  <c r="M20" i="4"/>
  <c r="G20" i="4"/>
  <c r="M19" i="4"/>
  <c r="G19" i="4"/>
  <c r="M18" i="4"/>
  <c r="G18" i="4"/>
  <c r="M17" i="4"/>
  <c r="G17" i="4"/>
  <c r="M16" i="4"/>
  <c r="G16" i="4"/>
  <c r="M15" i="4"/>
  <c r="G15" i="4"/>
  <c r="M14" i="4"/>
  <c r="G14" i="4"/>
  <c r="M13" i="4"/>
  <c r="G13" i="4"/>
  <c r="M12" i="4"/>
  <c r="G12" i="4"/>
  <c r="M11" i="4"/>
  <c r="G11" i="4"/>
  <c r="M10" i="4"/>
  <c r="G10" i="4"/>
  <c r="M9" i="4"/>
  <c r="G9" i="4"/>
  <c r="M8" i="4"/>
  <c r="G8" i="4"/>
  <c r="M7" i="4"/>
  <c r="G7" i="4"/>
  <c r="M6" i="4"/>
  <c r="G6" i="4"/>
  <c r="M5" i="4"/>
  <c r="G5" i="4"/>
  <c r="M4" i="4"/>
  <c r="G4" i="4"/>
  <c r="M3" i="4"/>
  <c r="G3" i="4"/>
</calcChain>
</file>

<file path=xl/comments1.xml><?xml version="1.0" encoding="utf-8"?>
<comments xmlns="http://schemas.openxmlformats.org/spreadsheetml/2006/main">
  <authors>
    <author>Autor</author>
  </authors>
  <commentList>
    <comment ref="B2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32" authorId="0">
      <text>
        <r>
          <rPr>
            <b/>
            <sz val="9"/>
            <rFont val="Tahoma"/>
            <family val="2"/>
          </rPr>
          <t xml:space="preserve">Autor: </t>
        </r>
        <r>
          <rPr>
            <sz val="9"/>
            <rFont val="Tahoma"/>
            <family val="2"/>
          </rPr>
          <t xml:space="preserve">a depender do grau do risco do serviço. De 1% - baixo a 3% - alto. Caso a empresa apresente SAT/RAT diferente deste percentual dev apresentar documento que comprove o grau de risco da sua empresa. "Sapweb"
</t>
        </r>
      </text>
    </comment>
    <comment ref="C43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8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D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B17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  <comment ref="B2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4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5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6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7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8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7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9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7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10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11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12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13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14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15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16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17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18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19.xml><?xml version="1.0" encoding="utf-8"?>
<comments xmlns="http://schemas.openxmlformats.org/spreadsheetml/2006/main">
  <authors>
    <author>Autor</author>
  </authors>
  <commentList>
    <comment ref="B17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3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20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21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22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23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24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25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26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27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28.xml><?xml version="1.0" encoding="utf-8"?>
<comments xmlns="http://schemas.openxmlformats.org/spreadsheetml/2006/main">
  <authors>
    <author>Autor</author>
  </authors>
  <commentList>
    <comment ref="B17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3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29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30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31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32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33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34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35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36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37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38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39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40.xml><?xml version="1.0" encoding="utf-8"?>
<comments xmlns="http://schemas.openxmlformats.org/spreadsheetml/2006/main">
  <authors>
    <author>Autor</author>
  </authors>
  <commentList>
    <comment ref="B19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7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41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42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43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44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45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46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7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47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7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48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49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50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51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7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52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53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54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55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56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57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58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59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60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61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62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63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64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65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66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67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68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69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70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71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comments72.xml><?xml version="1.0" encoding="utf-8"?>
<comments xmlns="http://schemas.openxmlformats.org/spreadsheetml/2006/main">
  <authors>
    <author>Autor</author>
  </authors>
  <commentList>
    <comment ref="B18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É custo não renovável.</t>
        </r>
      </text>
    </comment>
    <comment ref="C24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 depender do grau do risco do serviço. De 1% - baixo a 3% - alto.
</t>
        </r>
      </text>
    </comment>
    <comment ref="C35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Auxílio Creche + Auxílio Funeral 
($Creche*Meses*Incidência)/12
($Funeral*0,6%)/12</t>
        </r>
      </text>
    </comment>
    <comment ref="A76" authorId="0">
      <text>
        <r>
          <rPr>
            <b/>
            <sz val="9"/>
            <rFont val="Tahoma"/>
            <family val="2"/>
          </rPr>
          <t>Autor:</t>
        </r>
        <r>
          <rPr>
            <sz val="9"/>
            <rFont val="Tahoma"/>
            <family val="2"/>
          </rPr>
          <t xml:space="preserve">
Calculado considerando o reg. De tributação - LUCRO REAL;
</t>
        </r>
      </text>
    </comment>
  </commentList>
</comments>
</file>

<file path=xl/sharedStrings.xml><?xml version="1.0" encoding="utf-8"?>
<sst xmlns="http://schemas.openxmlformats.org/spreadsheetml/2006/main" count="10005" uniqueCount="429">
  <si>
    <t>CARGO</t>
  </si>
  <si>
    <t>Salário-base</t>
  </si>
  <si>
    <t>A</t>
  </si>
  <si>
    <t>INSS</t>
  </si>
  <si>
    <t>FGTS</t>
  </si>
  <si>
    <t>INCRA</t>
  </si>
  <si>
    <t>SEBRAE</t>
  </si>
  <si>
    <t>B</t>
  </si>
  <si>
    <t>C</t>
  </si>
  <si>
    <t>D</t>
  </si>
  <si>
    <t>E</t>
  </si>
  <si>
    <t>F</t>
  </si>
  <si>
    <t>Lucro</t>
  </si>
  <si>
    <t>Nº</t>
  </si>
  <si>
    <t>TOTAL A SEREM CONTRATADOS EM REGISTRO DE PREÇO</t>
  </si>
  <si>
    <t>CBO</t>
  </si>
  <si>
    <t>Nº do Processo</t>
  </si>
  <si>
    <t>Licitação Nº</t>
  </si>
  <si>
    <t>Data</t>
  </si>
  <si>
    <t>Município/UF</t>
  </si>
  <si>
    <t>Ano do Acordo ou da Convenção Coletiva ou Sentença Normativa ou Dissídio Coletivo</t>
  </si>
  <si>
    <t>Quantidade de Meses da Execução Contratual</t>
  </si>
  <si>
    <t>COMPOSIÇÃO DE CUSTOS E VALORES PARA A PROPOSTA DE PREÇOS</t>
  </si>
  <si>
    <t>ANEXO IV - PLANILHA DE COMPOSIÇÃO DE CUSTOS E VALORES PARA PROPOSTA DE PREÇOS</t>
  </si>
  <si>
    <t>ANEXO I - PLANILHA DE VALORES E CUSTOS DOS POSTOS</t>
  </si>
  <si>
    <t>Adicional de Periculosidade</t>
  </si>
  <si>
    <t>Adicional Noturno</t>
  </si>
  <si>
    <t>Adicional de Hora Noturna Reduzida</t>
  </si>
  <si>
    <t>Outros (especificar)</t>
  </si>
  <si>
    <t>Incidência dos encargos do Submódulo 2.2 sobre a composição da remuneração</t>
  </si>
  <si>
    <t>MÓDULO 1 - COMPOSIÇÃO DA REMUNERAÇÃO *</t>
  </si>
  <si>
    <t>* Valor mensal devido ao empregado pela prestação do serviço no período de 12 meses</t>
  </si>
  <si>
    <t>MÓDULO 2 -  ENCARGOS  E BENEFÍCIOS ANUAIS, MENSAIS E DIÁRIOS</t>
  </si>
  <si>
    <t>SUBMÓDULO 2.1 - 13º SALÁRIO, FÉRIAS E ADICIONAL DE FÉRIAS</t>
  </si>
  <si>
    <t>13º  Salário</t>
  </si>
  <si>
    <t>Férias e Adicional de férias</t>
  </si>
  <si>
    <t xml:space="preserve">TOTAL </t>
  </si>
  <si>
    <t>Incidências dos encargos do submódulo 2.2 sobre o 13º salário, férias e adicional de férias</t>
  </si>
  <si>
    <t>TOTAL</t>
  </si>
  <si>
    <t>G</t>
  </si>
  <si>
    <t>H</t>
  </si>
  <si>
    <t>Salário Educação</t>
  </si>
  <si>
    <t>SAT</t>
  </si>
  <si>
    <t>SESC ou SESI</t>
  </si>
  <si>
    <t>SENAI - SENAC</t>
  </si>
  <si>
    <t>SUBMÓDULO 2.2 - ENCARGOS PREVIDENCIÁRIOS (GPS), FUNDO DE GARANTIA POR TEMPO DE SERVIÇO (FGTS) E OUTRAS CONTRIBUIÇÕES *</t>
  </si>
  <si>
    <t>Transporte</t>
  </si>
  <si>
    <t>Auxílio-Refeição/Alimentação</t>
  </si>
  <si>
    <t>SUBMÓDULO 2.3 - BENEFÍCIOS MENSAIS E DIÁRIOS **</t>
  </si>
  <si>
    <t>Assistência médica e familiar</t>
  </si>
  <si>
    <t>MÓDULO 3 - PROVISÃO PARA RESCISÃO</t>
  </si>
  <si>
    <t>Aviso-prévio indenizado</t>
  </si>
  <si>
    <t>Incidência do FGTS sobre aviso-prévio indenizado</t>
  </si>
  <si>
    <t>Multa sobre FGTS e contribuições sociais sobre aviso-prévio indenizado</t>
  </si>
  <si>
    <t>Aviso-prévio trabalhado</t>
  </si>
  <si>
    <t>MÓDULO 4 - CUSTO DE REPOSIÇÃO DE PROFISSIONAL AUSENTE</t>
  </si>
  <si>
    <t>Substituto na cobertura de férias</t>
  </si>
  <si>
    <t>Substituto na cobertura de ausencias legais</t>
  </si>
  <si>
    <t>Substituto na cobertura de licença-paternidade</t>
  </si>
  <si>
    <t>Substituto na cobertura de Ausencia por acidente de trabalho</t>
  </si>
  <si>
    <t>Substituto na cobertura de Afastamento Maternidade</t>
  </si>
  <si>
    <t>Substituto na cobertura de outras ocorrencias (especificar)</t>
  </si>
  <si>
    <t>Incidência dos encargos do submódulo 2.2 sobre as ausências legais</t>
  </si>
  <si>
    <t>SUBMÓDULO 4.1 - AFASTAMENTO MATERNIDADE</t>
  </si>
  <si>
    <t>Férias acrescidas de 1/3 pagas ao substituto pelos 120d de reposição</t>
  </si>
  <si>
    <t>Incidência dos encargos do Submódulo 2.2 sobre as férias acrescidas de 1/3 pagas ao substituto pelos 120d de reposição</t>
  </si>
  <si>
    <t>Incidência dos encargos do Submódulo 2.2 sobre a remuneração e o 13º salário proporcionais aos 120d de reposição</t>
  </si>
  <si>
    <t>Outros</t>
  </si>
  <si>
    <t>SUBMÓDULO 4.2 -SUBSTITUTO NA INTRAJORNADA</t>
  </si>
  <si>
    <t>Substituto na cobertura de intervalo para repouso ou alimentação</t>
  </si>
  <si>
    <t>Incidência dos encargos do Submódulo 2.2 sobre o intervalo para repouso e alimentação</t>
  </si>
  <si>
    <t>TOTAL DO MÓDULO 4</t>
  </si>
  <si>
    <t>TOTAL DO MÓDULO 2</t>
  </si>
  <si>
    <t>MÓDULO 5 - INSUMOS DIVERSOS</t>
  </si>
  <si>
    <t>Uniformes</t>
  </si>
  <si>
    <t>Materiais</t>
  </si>
  <si>
    <t>Equipamentos</t>
  </si>
  <si>
    <t>Custos indiretos</t>
  </si>
  <si>
    <t>Tributos</t>
  </si>
  <si>
    <t>Tributos Federais (PIS)</t>
  </si>
  <si>
    <t>Tributos Federais (COFINS)</t>
  </si>
  <si>
    <t>Tributos Estaduais (ICMS)</t>
  </si>
  <si>
    <t>Tributos Estaduais (ISS)</t>
  </si>
  <si>
    <t>Incidência de GPS, FGTS e outras constribuições sobre o aviso-prévio trabalhado ***</t>
  </si>
  <si>
    <t>MÓDULO 6 -  CUSTOS INDIRETOS, TRIBUTOS E LUCRO ****</t>
  </si>
  <si>
    <t>CUSTO TOTAL POR EMPREGADO</t>
  </si>
  <si>
    <t xml:space="preserve">SUBMÓDULO 2.2 - ENCARGOS PREVIDENCIÁRIOS (GPS), FUNDO DE GARANTIA POR TEMPO DE SERVIÇO (FGTS) E OUTRAS CONTRIBUIÇÕES </t>
  </si>
  <si>
    <t>* SIMPLES NACIONAL *</t>
  </si>
  <si>
    <t>** LUCRO PRESUMIDO **</t>
  </si>
  <si>
    <t>** SIMPLES NACIONAL **</t>
  </si>
  <si>
    <t>MÓDULO 6 -  CUSTOS INDIRETOS, TRIBUTOS E LUCRO</t>
  </si>
  <si>
    <t>Site de Média Salarial</t>
  </si>
  <si>
    <t>Adicional de Insalubridade (Ver grau de ins. 10%, 20% ou 40% Sobre o salário mínimo)</t>
  </si>
  <si>
    <t>Incidência de GPS, FGTS e outras constribuições sobre o aviso-prévio trabalhado</t>
  </si>
  <si>
    <t xml:space="preserve">MÓDULOS EM VERDE - A SEREM PAGOS MENSALMENTE </t>
  </si>
  <si>
    <t>MÓDULOS EM AZUL - CONFORME OCORRÊNCIAS COMPROVADAS;</t>
  </si>
  <si>
    <t>QTD. LICITADA</t>
  </si>
  <si>
    <t>S.B</t>
  </si>
  <si>
    <t>FONTE</t>
  </si>
  <si>
    <t>Valor do Posto</t>
  </si>
  <si>
    <t>Carga Horária por Dia</t>
  </si>
  <si>
    <t>Despesa Média Mensal</t>
  </si>
  <si>
    <t>Valor da Hora Extra</t>
  </si>
  <si>
    <t xml:space="preserve">Total de Horas p/ mês p/ Equiparação </t>
  </si>
  <si>
    <t>Total de Hrs/Mês em $</t>
  </si>
  <si>
    <t>Despesa com equiparação de horas</t>
  </si>
  <si>
    <t>Carga Horária Mensal</t>
  </si>
  <si>
    <t>DESPESA EQUIPARADA</t>
  </si>
  <si>
    <t>VALOR PMPA</t>
  </si>
  <si>
    <t>VALOR TERCEIRIZADO</t>
  </si>
  <si>
    <t>Tributos Municipais (ISS)</t>
  </si>
  <si>
    <t>PORTEIRO</t>
  </si>
  <si>
    <t xml:space="preserve">CC MG000612/2020 </t>
  </si>
  <si>
    <t>4110-05</t>
  </si>
  <si>
    <t>5135-05</t>
  </si>
  <si>
    <t>5143-20</t>
  </si>
  <si>
    <t>3341-15</t>
  </si>
  <si>
    <t>5174-10</t>
  </si>
  <si>
    <t xml:space="preserve">                    </t>
  </si>
  <si>
    <t>Outros (especificar) - plano odontológico</t>
  </si>
  <si>
    <t>12X36</t>
  </si>
  <si>
    <t>7825-10</t>
  </si>
  <si>
    <t>7823-05</t>
  </si>
  <si>
    <t>MOTORISTA DE ÔNIBUS</t>
  </si>
  <si>
    <t>MOTORISTA DE CAMINHÃO</t>
  </si>
  <si>
    <t xml:space="preserve">13º  Salário </t>
  </si>
  <si>
    <t>SUBMÓDULO 4.2 -SUBSTITUTO NA INTRAJORNADA - PAGAMENTO POR FATO GERADOR</t>
  </si>
  <si>
    <t>SUBMÓDULO 4.1 - AFASTAMENTO MATERNIDADE - PAGAMENTO POR FATO GERADOR</t>
  </si>
  <si>
    <t>MÓDULO 4 - CUSTO DE REPOSIÇÃO DE PROFISSIONAL AUSENTE - PAGAMENTO POR FATO GERADOR</t>
  </si>
  <si>
    <t>MÓDULO 3 - PROVISÃO PARA RESCISÃO - PAGAMENTO POR FATO GERADOR</t>
  </si>
  <si>
    <t>SUBMÓDULO 2.1 - 13º SALÁRIO, FÉRIAS E ADICIONAL DE FÉRIAS - PAGAMENTO POR FATO GERADOR</t>
  </si>
  <si>
    <t>MÓDULO 3 - PROVISÃO PARA RESCISÃO -PAGAMENTO POR FATO GERADOR</t>
  </si>
  <si>
    <t>SUBMÓDULO 4.2 -SUBSTITUTO NA INTRAJORNADA -PAGAMENTO POR FATO GERADOR</t>
  </si>
  <si>
    <t>COZINHEIRO</t>
  </si>
  <si>
    <t>5132-05</t>
  </si>
  <si>
    <t>MG000612/2020</t>
  </si>
  <si>
    <t>AUXILIAR ADMINISTRATIVO 44 HR SEMANAIS</t>
  </si>
  <si>
    <t>AUXILIAR ADMINISTRATIVO 44 HORAS SEMANAIS</t>
  </si>
  <si>
    <t>AUXILIAR ADMINISTRATIVO 12X36 DIURNO</t>
  </si>
  <si>
    <t>AUXILIAR ADMINISTRATIVO 12X36 HORAS DIURNO</t>
  </si>
  <si>
    <t>AUXILIAR ADMINISTRATIVO 44 HR</t>
  </si>
  <si>
    <t>AUXILIAR ADMINISTRATIVO 44 HORAS</t>
  </si>
  <si>
    <t>AUXILIAR ADMINISTRATIVO 12X36 HORAS</t>
  </si>
  <si>
    <t>RECEPCIONISTA 44 HR SEMANAIS</t>
  </si>
  <si>
    <t>8H</t>
  </si>
  <si>
    <t>4221-05</t>
  </si>
  <si>
    <t>RECEPCIONISTA 12X36 DIURNO</t>
  </si>
  <si>
    <t>RECEPCIONISTA 12X36 NOTURNO</t>
  </si>
  <si>
    <t>Descanso Semanal Remunerado</t>
  </si>
  <si>
    <t>Outros Especificar</t>
  </si>
  <si>
    <t>Cesta Basica</t>
  </si>
  <si>
    <t>Auxilio Alimentação</t>
  </si>
  <si>
    <t>AUXILIAR DE COZINHA 44HR</t>
  </si>
  <si>
    <t>MG000471/2020</t>
  </si>
  <si>
    <t>COZINHEIRO 44 HR</t>
  </si>
  <si>
    <t>AUXILIAR DE COZINHA 12X36 DIA</t>
  </si>
  <si>
    <t>COZINHEIRO 12X36 DIURNO</t>
  </si>
  <si>
    <t>AUX DE LIMPEZA/FAXINEIRO/SERVIÇOS GERAIS 44HR</t>
  </si>
  <si>
    <t>Adicional de Insalubridade 20%</t>
  </si>
  <si>
    <t>AUX DE LIMP/FAXINEIRO/SERV GERAIS 44HR INSALUBRE 20%</t>
  </si>
  <si>
    <t>AUX DE LIMP/FAXINEIRO/SERV GERAIS 44HR INSALUBRE 40%</t>
  </si>
  <si>
    <t>Adicional de Insalubridade 40%</t>
  </si>
  <si>
    <r>
      <t xml:space="preserve">AUXILIAR DE LIMPEZA </t>
    </r>
    <r>
      <rPr>
        <sz val="11"/>
        <color theme="1"/>
        <rFont val="Calibri"/>
        <family val="2"/>
        <scheme val="minor"/>
      </rPr>
      <t>44 HR SEM INSALUBRIDADE</t>
    </r>
  </si>
  <si>
    <t>AUX DE LIMP/FAXINEIRO/SERV GERAIS 12X36 DIA SEM INSAL</t>
  </si>
  <si>
    <t>AUX DE LIMP/FAXINEIRO/SERV GERAIS 12X36 DIA COM 20% INSAL</t>
  </si>
  <si>
    <t>UTILZA</t>
  </si>
  <si>
    <t>AUX DE LIMP/FAXINEIRO/SERV GERAIS 12X36 DIA COM 40% INSAL</t>
  </si>
  <si>
    <t>AUX DE LIMP/FAXINEIRO/SERV GERAIS 12X36 NOITE SEM INSAL</t>
  </si>
  <si>
    <t>AUX DE LIMP/FAXINEIRO/SERV GERAIS 12X36 NOITE COM 20% INSAL</t>
  </si>
  <si>
    <t>AUX DE LIMP/FAXINEIRO/SERV GERAIS 12X36 NOITE COM 40% INSAL</t>
  </si>
  <si>
    <t>VARREDEIRA/GARI/OPERADOR DE ROÇADEIRA/CARRINHEIRO</t>
  </si>
  <si>
    <t>44H</t>
  </si>
  <si>
    <t>7,20H</t>
  </si>
  <si>
    <t>MG001677/2020</t>
  </si>
  <si>
    <t>5142-15</t>
  </si>
  <si>
    <t>COLETOR DE LIXO</t>
  </si>
  <si>
    <t>Cesta Basica/Natal/Férias</t>
  </si>
  <si>
    <t>COLETOR DE LIXO 44 HR</t>
  </si>
  <si>
    <t>AGENTE DE FISCALIZAÇÃO DE RUA</t>
  </si>
  <si>
    <t>AGENTE DE FISCALIZAÇÃO DE RUA 44HR</t>
  </si>
  <si>
    <t>5142-05</t>
  </si>
  <si>
    <t>2545-05</t>
  </si>
  <si>
    <t>JARDINEIRO 44HR</t>
  </si>
  <si>
    <t>6220-10</t>
  </si>
  <si>
    <t>PORTEIRO 44HR</t>
  </si>
  <si>
    <t>PORTEIRO 12 X 36 DIURNO</t>
  </si>
  <si>
    <t>PORTEIRO 12 X 36 NOTURNO</t>
  </si>
  <si>
    <t>CONTINUO 44 HR</t>
  </si>
  <si>
    <t>4122-05</t>
  </si>
  <si>
    <t>3241-15</t>
  </si>
  <si>
    <t>SIND RADIOLOGISTA/MG CCT 2020/2021</t>
  </si>
  <si>
    <t>TELEFONISTA</t>
  </si>
  <si>
    <t>6H</t>
  </si>
  <si>
    <t>TELEFONISTA 36HR</t>
  </si>
  <si>
    <t>36H</t>
  </si>
  <si>
    <t>MG001424/2020</t>
  </si>
  <si>
    <t>4222-05</t>
  </si>
  <si>
    <t>24H</t>
  </si>
  <si>
    <t xml:space="preserve">Outros (especificar) - </t>
  </si>
  <si>
    <t>MOTORISTA DE CAMINHAO 44H</t>
  </si>
  <si>
    <t>MOTORISTA DE ÔNIBUS ESCOLAR/MICROONIBUS ESCOLAR</t>
  </si>
  <si>
    <t>MG002447/2020</t>
  </si>
  <si>
    <t>7824-05</t>
  </si>
  <si>
    <t>MOTORISTA DE CARRO ATE 7 LUGARES</t>
  </si>
  <si>
    <t>MOTORISTA AMBULANCIA 12X36 DIA</t>
  </si>
  <si>
    <t>7823-20</t>
  </si>
  <si>
    <t>MOTORISTA AMBULANCIA 12X36 NOITE</t>
  </si>
  <si>
    <t>12H</t>
  </si>
  <si>
    <t>TECNICO DE RX/RADIOLOGIA DIA</t>
  </si>
  <si>
    <t>TECNICO DE RX/RADIOLOGIA NOITE</t>
  </si>
  <si>
    <t>FARMACEUTICO 40HR</t>
  </si>
  <si>
    <t>40H</t>
  </si>
  <si>
    <t>SIND FARMACEUTICOS MG CCT 2020/2021</t>
  </si>
  <si>
    <t>2234-05</t>
  </si>
  <si>
    <t>Correção 2019 e 2020 IPCA-E (Clausula 4ª CCT)</t>
  </si>
  <si>
    <t>TECNICO LABORATORIO 44HR</t>
  </si>
  <si>
    <t>SIND TEC LABORATORIO MG CCT 2017/2019</t>
  </si>
  <si>
    <t>3242-05</t>
  </si>
  <si>
    <t>TECNICO LABORATORIO 12X36 DIA</t>
  </si>
  <si>
    <t>TECNICO LABORATORIO 12X36 NOITE</t>
  </si>
  <si>
    <t>ENFERMEIRO 12X36 DIA</t>
  </si>
  <si>
    <t>Site SALARIOBR.COM.BR e MG003986/2019</t>
  </si>
  <si>
    <t>2235-05</t>
  </si>
  <si>
    <t>ENFERMEIRO 12X36 NOITE</t>
  </si>
  <si>
    <t>FISIOTERAPEUTA</t>
  </si>
  <si>
    <t>30H</t>
  </si>
  <si>
    <t>Site SALARIOBR.COM.BR e SIND DOS FISIOTERAPEUTAS</t>
  </si>
  <si>
    <t>2236-05</t>
  </si>
  <si>
    <t>TECNICO DE ENFERMAGEM 12X36 DIA</t>
  </si>
  <si>
    <t>MG000667/2018</t>
  </si>
  <si>
    <t>3222-05</t>
  </si>
  <si>
    <t>TECNICO DE ENFERMAGEM 12X36 NOITE</t>
  </si>
  <si>
    <t>AUXILIAR DE SAUDE BUCAL 44HR</t>
  </si>
  <si>
    <t>3224-15</t>
  </si>
  <si>
    <t>TECNICO EM SAUDE BUCAL 44HR</t>
  </si>
  <si>
    <t>44h</t>
  </si>
  <si>
    <t>3224-05</t>
  </si>
  <si>
    <t>ATENDENTE DE FARMACIA 44HR</t>
  </si>
  <si>
    <t>5211-30</t>
  </si>
  <si>
    <t>Auxilio Saúde</t>
  </si>
  <si>
    <t>MOTORISTA DE COLETA DE LIXO DOMICILAR</t>
  </si>
  <si>
    <t>MG001325/2020</t>
  </si>
  <si>
    <t>Adicional de Insalubridade %</t>
  </si>
  <si>
    <t>ROÇADOR/PODADOR</t>
  </si>
  <si>
    <t>6220-20</t>
  </si>
  <si>
    <t>SUPERVISOR GERAL</t>
  </si>
  <si>
    <t>SUPERVISOR</t>
  </si>
  <si>
    <t>5101-</t>
  </si>
  <si>
    <t>ENCARREGADO GERAL</t>
  </si>
  <si>
    <t>ENCARREGADO</t>
  </si>
  <si>
    <t>4101-05</t>
  </si>
  <si>
    <t>ASSISTENTE SOCIAL</t>
  </si>
  <si>
    <t>SITE SALARIOBR.COM.BR</t>
  </si>
  <si>
    <t>2516-05</t>
  </si>
  <si>
    <t>2234-10</t>
  </si>
  <si>
    <t>FARMACEUTICO BIOQUIMICO 12X36 DIA</t>
  </si>
  <si>
    <t>FARMACEUTICO BIOQUIMICO 12X36 NOITE</t>
  </si>
  <si>
    <t>DENTISTA</t>
  </si>
  <si>
    <t>2232-08</t>
  </si>
  <si>
    <t>FONOAUDIOLOGO</t>
  </si>
  <si>
    <t>NUTRICIONISTA</t>
  </si>
  <si>
    <t>2238-10</t>
  </si>
  <si>
    <t>2237-10</t>
  </si>
  <si>
    <t>PSICOLOGO</t>
  </si>
  <si>
    <t>2515-10</t>
  </si>
  <si>
    <t>TERAPEUTA OCUPACIONAL</t>
  </si>
  <si>
    <t>2239-05</t>
  </si>
  <si>
    <t>MEDICO CLINICO GENERALISTA</t>
  </si>
  <si>
    <t>20H</t>
  </si>
  <si>
    <t>2251-25</t>
  </si>
  <si>
    <t>MEDICO ESPECIALISTA</t>
  </si>
  <si>
    <t>2251-05</t>
  </si>
  <si>
    <t>PEDREIRO</t>
  </si>
  <si>
    <t>AJUDANTE DE OBRAS/SERVENTE</t>
  </si>
  <si>
    <t>BOMBEIRO HIDRAULICO</t>
  </si>
  <si>
    <t>ELETRICISTA</t>
  </si>
  <si>
    <t>PINTOR DE OBRAS</t>
  </si>
  <si>
    <t>MARCENEIRO</t>
  </si>
  <si>
    <t>MEDICO PLANTONISTA 12 HORAS</t>
  </si>
  <si>
    <t>Auxílio-Refeição/Alimentação e Café da Manha</t>
  </si>
  <si>
    <t>AJUDANTE DE OBRAS</t>
  </si>
  <si>
    <t>7152-10</t>
  </si>
  <si>
    <t>7170-20</t>
  </si>
  <si>
    <t>7241-10</t>
  </si>
  <si>
    <t>7156-15</t>
  </si>
  <si>
    <t>7166-10</t>
  </si>
  <si>
    <t>7711-05</t>
  </si>
  <si>
    <t>MG001841 2019</t>
  </si>
  <si>
    <t>CALCETEIRO</t>
  </si>
  <si>
    <t>1MT</t>
  </si>
  <si>
    <t>7152-05</t>
  </si>
  <si>
    <t>MONITOR DE TRANSPORTES/CRECHE/ESCOLA</t>
  </si>
  <si>
    <t>ENGENHEIRO PLENO</t>
  </si>
  <si>
    <t>ENGENHEIRO SENIOR</t>
  </si>
  <si>
    <t>ENGENHEIRO JUNIOR</t>
  </si>
  <si>
    <t>2142-05</t>
  </si>
  <si>
    <t>TECNICO INFORMATICA</t>
  </si>
  <si>
    <t>TECNICO DE INFORMATICA</t>
  </si>
  <si>
    <t>3172-10</t>
  </si>
  <si>
    <t>MOTORISTA  DE CAMINHÃO/MÁQUINA PESADA</t>
  </si>
  <si>
    <t>VALOR DO POSTO DE TRABALHO         R$</t>
  </si>
  <si>
    <t>SIND TRAB IND CONSTRUÇÃO SUL DE MINAS 2018/2019</t>
  </si>
  <si>
    <t>Sind. dos Trab. de Processamento de Dados</t>
  </si>
  <si>
    <t>VALOR FINAL              R$</t>
  </si>
  <si>
    <t>CARGA HORÁRIA     h</t>
  </si>
  <si>
    <t>QUANTIDADE</t>
  </si>
  <si>
    <t>com adicional Insalubridade médio</t>
  </si>
  <si>
    <t xml:space="preserve"> com adicional Insalubridade máximo</t>
  </si>
  <si>
    <t>com adicional Noturno</t>
  </si>
  <si>
    <t>LICITADA</t>
  </si>
  <si>
    <t>SOLICITADA</t>
  </si>
  <si>
    <t>SALÁRIO BASE           R$</t>
  </si>
  <si>
    <t>VALOR DO POSTO DE TRABALHO  R$</t>
  </si>
  <si>
    <t>ITEM</t>
  </si>
  <si>
    <t>VALOR TOTAL MENSAL</t>
  </si>
  <si>
    <t>VALOR TOTAL ANUAL</t>
  </si>
  <si>
    <t>Empresas de cessão de mão de obra não podem usar o Simples Nacional como regime de tributação, na conformidade com  os termos do mencionado art. 15 inciso XXI, da Resolução CGNS nª 140/2018, a empresa que realize cessão ou locação de mão de obra não poderá recolher os tributos pelo SIMPLES NACIONAL.</t>
  </si>
  <si>
    <t>MÓDULO 4 - CUSTO DE REPOSIÇÃO DE PROFISSIONAL AUSENTE                                          PAGAMENTO POR FATO GERADOR</t>
  </si>
  <si>
    <t>TOTAL DO MÓDULO 3</t>
  </si>
  <si>
    <t>TOTAL DO MÓDULO 1</t>
  </si>
  <si>
    <t>TOTAL DO MÓDULO 5</t>
  </si>
  <si>
    <t>TOTAL DO MÓDULO 6</t>
  </si>
  <si>
    <t>AUXILIAR ADMINISTRATIVO (12x36) HORAS - DIURNO</t>
  </si>
  <si>
    <t>MÓDULO 4 - CUSTO DE REPOSIÇÃO DE PROFISSIONAL AUSENTE                                             PAGAMENTO POR FATO GERADOR</t>
  </si>
  <si>
    <t>SUBMÓDULO 2.1 - 13º SALÁRIO, FÉRIAS E ADICIONAL DE FÉRIAS                                    PAGAMENTO POR FATO GERADOR</t>
  </si>
  <si>
    <t>TOTAL MÓDULO 1</t>
  </si>
  <si>
    <t>TOTAL MÓDULO 3</t>
  </si>
  <si>
    <t>TOTAL MÓDULO 5</t>
  </si>
  <si>
    <t>TOTAL MÓDULO 6</t>
  </si>
  <si>
    <t>RECEPCIONISTA 44H SEMANAIS</t>
  </si>
  <si>
    <t>TOTAL MODULO 1</t>
  </si>
  <si>
    <t>SUBMÓDULO 2.1 - 13º SALÁRIO, FÉRIAS E ADICIONAL DE FÉRIAS                                   PAGAMENTO POR FATO GERADOR</t>
  </si>
  <si>
    <t>MÓDULO 4 - CUSTO DE REPOSIÇÃO DE PROFISSIONAL AUSENTE                                     PAGAMENTO POR FATO GERADOR</t>
  </si>
  <si>
    <t>TOTAL MODULO 3</t>
  </si>
  <si>
    <t>RECEPCIONISTA (12x36)HORAS - DIURNO</t>
  </si>
  <si>
    <t>TOTAL  MODULO 6</t>
  </si>
  <si>
    <t>TOTAL MODULO 5</t>
  </si>
  <si>
    <t>RECEPCIONISTA (12x36)HORAS - NOTURNO</t>
  </si>
  <si>
    <t>MÓDULO 4 - CUSTO DE REPOSIÇÃO DE PROFISSIONAL AUSENTE                                                    PAGAMENTO POR FATO GERADOR</t>
  </si>
  <si>
    <t>SUBMÓDULO 2.1 - 13º SALÁRIO, FÉRIAS E ADICIONAL DE FÉRIAS                                        PAGAMENTO POR FATO GERADOR</t>
  </si>
  <si>
    <t>TOTAL MODULO 6</t>
  </si>
  <si>
    <t>AUXILIAR DE COZINHA 44 HORAS SEMANAIS</t>
  </si>
  <si>
    <t>SUBMÓDULO 4.2 -SUBSTITUTO NA INTRAJORNADA                                                            PAGAMENTO POR FATO GERADOR</t>
  </si>
  <si>
    <t>TOTAL MPODULO 5</t>
  </si>
  <si>
    <t>SUBMÓDULO 2.1 - 13º SALÁRIO, FÉRIAS E ADICIONAL DE FÉRIAS                                          PAGAMENTO POR FATO GERADOR</t>
  </si>
  <si>
    <t>SUBMÓDULO 2.1 - 13º SALÁRIO, FÉRIAS E ADICIONAL DE FÉRIAS                                       PAGAMENTO POR FATO GERADOR</t>
  </si>
  <si>
    <t>AUXILIAR DE LIMPEZA 44 HORAS SEMANAIS                                                SEM ADICIONAL DE INSALUBRIDADE</t>
  </si>
  <si>
    <t>AUXILIAR DE LIMPEZA 44 HORAS SEMANAIS                                               COM ADICIONAL DE INSALUBRIDADE DE 20%</t>
  </si>
  <si>
    <t>AUXILIAR DE LIMPEZA 44 HORAS SEMANAIS                                               COM ADICIONAL DE INSALUBRIDADE DE 40%</t>
  </si>
  <si>
    <t>AUXILIAR DE LIMPEZA (12x36) HORAS                                                           SEM ADICIONAL DE INSALUBRIDADE</t>
  </si>
  <si>
    <t>SUBMÓDULO 2.1 - 13º SALÁRIO, FÉRIAS E ADICIONAL DE FÉRIAS                                      PAGAMENTO POR FATO GERADOR</t>
  </si>
  <si>
    <t>AUXILIAR DE LIMPEZA (12x36) HORAS                                                           COM ADICIONAL DE INSALUBRIDADE DE 20%</t>
  </si>
  <si>
    <t>SUBMÓDULO 2.1 - 13º SALÁRIO, FÉRIAS E ADICIONAL DE FÉRIAS                                               PAGAMENTO POR FATO GERADOR</t>
  </si>
  <si>
    <t>AUXILIAR DE LIMPEZA (12x36) HORAS                                                           COM ADICIONAL DE INSALUBRIDADE DE 40%</t>
  </si>
  <si>
    <t>AUXILIAR DE LIMPEZA (12x36) HORAS - NOTURNO                                                           SEM ADICIONAL DE INSALUBRIDADE</t>
  </si>
  <si>
    <t>AUXILIAR DE LIMPEZA (12x36) HORAS - NOTURNO                                                           COM ADICIONAL DE INSALUBRIDADE DE 20%</t>
  </si>
  <si>
    <t>TOTAL  MODULO 3</t>
  </si>
  <si>
    <t>AUXILIAR DE LIMPEZA (12x36) HORAS - NOTURNO                                                           COM ADICIONAL DE INSALUBRIDADE DE 40%</t>
  </si>
  <si>
    <t>MÓDULO 4 - CUSTO DE REPOSIÇÃO DE PROFISSIONAL AUSENTE                                       PAGAMENTO POR FATO GERADOR</t>
  </si>
  <si>
    <t>MÓDULO 4 - CUSTO DE REPOSIÇÃO DE PROFISSIONAL AUSENTE                                      PAGAMENTO POR FATO GERADOR</t>
  </si>
  <si>
    <t>SUBMÓDULO 2.1 - 13º SALÁRIO, FÉRIAS E ADICIONAL DE FÉRIAS                                  PAGAMENTO POR FATO GERADOR</t>
  </si>
  <si>
    <t>SUBMÓDULO 2.1 - 13º SALÁRIO, FÉRIAS E ADICIONAL DE FÉRIAS                         PAGAMENTO POR FATO GERADOR</t>
  </si>
  <si>
    <t>JARDINEIRO 44 HORAS SEMANAIS</t>
  </si>
  <si>
    <t>CONTÍNUO / OFFICE BOY - 44 HORAS SEMANAIS</t>
  </si>
  <si>
    <t>TÉCNICO EM RADIOLOGIA / RX - 44 HORAS SEMANAIS</t>
  </si>
  <si>
    <t>SUBMÓDULO 2.1 - 13º SALÁRIO, FÉRIAS E ADICIONAL DE FÉRIAS                              PAGAMENTO POR FATO GERADOR</t>
  </si>
  <si>
    <t>TÉCNICO EM RADIOLOGIA / RX  - NOTURNO</t>
  </si>
  <si>
    <t>SUBMÓDULO 2.1 - 13º SALÁRIO, FÉRIAS E ADICIONAL DE FÉRIAS                        PAGAMENTO POR FATO GERADOR</t>
  </si>
  <si>
    <t>MÓDULO 4 - CUSTO DE REPOSIÇÃO DE PROFISSIONAL AUSENTE                       PAGAMENTO POR FATO GERADOR</t>
  </si>
  <si>
    <t>MONITOR DE TRANSPORTE</t>
  </si>
  <si>
    <t>SUBMÓDULO 2.1 - 13º SALÁRIO, FÉRIAS E ADICIONAL DE FÉRIAS                                             PAGAMENTO POR FATO GERADOR</t>
  </si>
  <si>
    <t>MÓDULO 4 - CUSTO DE REPOSIÇÃO DE PROFISSIONAL AUSENTE                                        PAGAMENTO POR FATO GERADOR</t>
  </si>
  <si>
    <t>SUBMÓDULO 2.1 - 13º SALÁRIO, FÉRIAS E ADICIONAL DE FÉRIAS                             PAGAMENTO POR FATO GERADOR</t>
  </si>
  <si>
    <t>MÓDULO 4 - CUSTO DE REPOSIÇÃO DE PROFISSIONAL AUSENTE                                           PAGAMENTO POR FATO GERADOR</t>
  </si>
  <si>
    <t>SUBMÓDULO 2.1 - 13º SALÁRIO, FÉRIAS E ADICIONAL DE FÉRIAS                PAGAMENTO POR FATO GERADOR</t>
  </si>
  <si>
    <t>MOTORISTA DE AMBULÂNCIA</t>
  </si>
  <si>
    <t>MOTORISTA DE AMBULÂNCIA - NOTURNO</t>
  </si>
  <si>
    <t>SUBMÓDULO 2.1 - 13º SALÁRIO, FÉRIAS E ADICIONAL DE FÉRIAS                          PAGAMENTO POR FATO GERADOR</t>
  </si>
  <si>
    <t>SUBMÓDULO 2.1 - 13º SALÁRIO, FÉRIAS E ADICIONAL DE FÉRIAS                                 PAGAMENTO POR FATO GERADOR</t>
  </si>
  <si>
    <t>PORTEIRO (12x36) HORAS</t>
  </si>
  <si>
    <t>PORTEIRO (12x36) HORAS - NOTURNO</t>
  </si>
  <si>
    <t>FARMACÊUTICO - 40 HORAS</t>
  </si>
  <si>
    <t xml:space="preserve">TÉCNICO LABORATÓRIO </t>
  </si>
  <si>
    <t>TÉCNICO LABORATÓRIO (12x36) HORAS - NOTURNO</t>
  </si>
  <si>
    <t>TÉCNICO LABORATÓRIO (12x36) HORAS</t>
  </si>
  <si>
    <t>TOTAL DO MÓDULO  3</t>
  </si>
  <si>
    <t>ENFERMEIRO (12x36) HORAS - DIURNO</t>
  </si>
  <si>
    <t>ENFERMEIRO (12x36) HORAS - NOTURNO</t>
  </si>
  <si>
    <t>MÓDULO 4 - CUSTO DE REPOSIÇÃO DE PROFISSIONAL AUSENTE                                         PAGAMENTO POR FATO GERADOR</t>
  </si>
  <si>
    <t>SUBMÓDULO 2.1 - 13º SALÁRIO, FÉRIAS E ADICIONAL DE FÉRIAS                                         PAGAMENTO POR FATO GERADOR</t>
  </si>
  <si>
    <t>SUBMÓDULO 2.1 - 13º SALÁRIO, FÉRIAS E ADICIONAL DE FÉRIAS                                     PAGAMENTO POR FATO GERADOR</t>
  </si>
  <si>
    <t>TÉCNICO EM ENFERMAGEM (12x36) HORAS - DIURNO</t>
  </si>
  <si>
    <t>TÉCNICO EM ENFERMAGEM (12x36) HORAS - NOTURNO</t>
  </si>
  <si>
    <t>COZINHEIRO (12x36) HORAS - DIURNO</t>
  </si>
  <si>
    <t>AUXILIAR DE SAÚDE BUCAL</t>
  </si>
  <si>
    <t>MÓDULO 4 - CUSTO DE REPOSIÇÃO DE PROFISSIONAL AUSENTE                                                 PAGAMENTO POR FATO GERADOR</t>
  </si>
  <si>
    <t>TÉCNICO EM SAÚDE BUCAL</t>
  </si>
  <si>
    <t>SUBMÓDULO 2.1 - 13º SALÁRIO, FÉRIAS E ADICIONAL DE FÉRIAS                                            PAGAMENTO POR FATO GERADOR</t>
  </si>
  <si>
    <t>ATENDENTE DE FARMÁCIA</t>
  </si>
  <si>
    <t>MOTORISTA - CAMINHÃO DE LIXO</t>
  </si>
  <si>
    <t>ROÇADOR</t>
  </si>
  <si>
    <t>TOTAL DO MÓDULO '</t>
  </si>
  <si>
    <t>MÓDULO 4 - CUSTO DE REPOSIÇÃO DE PROFISSIONAL AUSENTE                                              PAGAMENTO POR FATO GERADOR</t>
  </si>
  <si>
    <t>BIOQUÍMICO - NOITE</t>
  </si>
  <si>
    <t>BIOQUÍMICO</t>
  </si>
  <si>
    <t>FONOAUDIÓLOGO</t>
  </si>
  <si>
    <t>PSICÓLOGO</t>
  </si>
  <si>
    <t>MÉDICO CLÍNICO 20 HORAS</t>
  </si>
  <si>
    <t>MÉDICO CLÍNICO 40 HORAS</t>
  </si>
  <si>
    <t>MÉDICO ESPECIALISTA</t>
  </si>
  <si>
    <t>MÉDICO PLANTONISTA</t>
  </si>
  <si>
    <t>OFICIAL DE MANUTENÇÃO</t>
  </si>
  <si>
    <t>MÓDULO 4 - CUSTO DE REPOSIÇÃO DE PROFISSIONAL AUSENTE                                                                   PAGAMENTO POR FATO GERADOR</t>
  </si>
  <si>
    <t>ENGENHEIRO</t>
  </si>
  <si>
    <t>ENGENHEIRO SÊNIOR</t>
  </si>
  <si>
    <t>TÉCNICO DE INFORMÁTICA</t>
  </si>
  <si>
    <t>MÓDULO 4 - CUSTO DE REPOSIÇÃO DE PROFISSIONAL AUSENTE                                                        PAGAMENTO POR FATO GERADOR</t>
  </si>
  <si>
    <t>SUBMÓDULO 4.1 - AFASTAMENTO MATERNIDADE                                                                      PAGAMENTO POR FATO GERADOR</t>
  </si>
  <si>
    <t>MÓDULO 4 - CUSTO DE REPOSIÇÃO DE PROFISSIONAL AUSENTE                                            PAGAMENTO POR FATO GERADOR</t>
  </si>
  <si>
    <t>SUBMÓDULO 4.2 -SUBSTITUTO NA INTRAJORNADA                                                                    PAGAMENTO POR FATO GERADOR</t>
  </si>
  <si>
    <t>SUBMÓDULO 4.1 - AFASTAMENTO MATERNIDADE                                                                     PAGAMENTO POR FATO GERADOR</t>
  </si>
  <si>
    <t>SUBMÓDULO 4.2 -SUBSTITUTO NA INTRAJORNADA                                                                 PAGAMENTO POR FATO GERADOR</t>
  </si>
  <si>
    <t>SUBMÓDULO 2.1 - 13º SALÁRIO, FÉRIAS E ADICIONAL DE FÉRIAS                                           PAGAMENTO POR FATO GERADOR</t>
  </si>
  <si>
    <t>SUBMÓDULO 4.1 - AFASTAMENTO MATERNIDADE                                                                 PAGAMENTO POR FATO GERADOR</t>
  </si>
  <si>
    <t>SUBMÓDULO 4.1 - AFASTAMENTO MATERNIDADE                                                                   PAGAMENTO POR FATO GERADOR</t>
  </si>
  <si>
    <t>SUBMÓDULO 4.1 - AFASTAMENTO MATERNIDADE                                                                PAGAMENTO POR FATO GERADOR</t>
  </si>
  <si>
    <t>SUBMÓDULO 4.2 -SUBSTITUTO NA INTRAJORNADA                                                               PAGAMENTO POR FATO GERADOR</t>
  </si>
  <si>
    <t>SUBMÓDULO 4.2 -SUBSTITUTO NA INTRAJORNADA                                                                   PAGAMENTO POR FATO GERADOR</t>
  </si>
  <si>
    <t>SUBMÓDULO 4.2 -SUBSTITUTO NA INTRAJORNADA                                                                PAGAMENTO POR FATO GERADOR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</si>
</sst>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.0000%"/>
    <numFmt numFmtId="166" formatCode="_-&quot;R$&quot;* #,##0.0000_-;\-&quot;R$&quot;* #,##0.0000_-;_-&quot;R$&quot;* &quot;-&quot;????_-;_-@_-"/>
    <numFmt numFmtId="167" formatCode="&quot;R$&quot;\ #,##0.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9"/>
      <name val="Tahoma"/>
      <family val="2"/>
    </font>
    <font>
      <b/>
      <sz val="9"/>
      <name val="Tahoma"/>
      <family val="2"/>
    </font>
    <font>
      <sz val="11"/>
      <color theme="0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u/>
      <sz val="12"/>
      <color theme="6" tint="-0.4999542222357860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2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</fills>
  <borders count="10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 style="medium">
        <color theme="3" tint="0.39997558519241921"/>
      </right>
      <top/>
      <bottom style="medium">
        <color theme="3" tint="0.3999755851924192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theme="3" tint="0.39997558519241921"/>
      </right>
      <top style="medium">
        <color auto="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medium">
        <color auto="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auto="1"/>
      </right>
      <top style="medium">
        <color auto="1"/>
      </top>
      <bottom style="thin">
        <color theme="3" tint="0.39997558519241921"/>
      </bottom>
      <diagonal/>
    </border>
    <border>
      <left style="medium">
        <color auto="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auto="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auto="1"/>
      </left>
      <right style="thin">
        <color theme="3" tint="0.39997558519241921"/>
      </right>
      <top style="thin">
        <color theme="3" tint="0.39997558519241921"/>
      </top>
      <bottom style="medium">
        <color auto="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medium">
        <color auto="1"/>
      </bottom>
      <diagonal/>
    </border>
    <border>
      <left style="thin">
        <color theme="3" tint="0.39997558519241921"/>
      </left>
      <right style="medium">
        <color auto="1"/>
      </right>
      <top style="thin">
        <color theme="3" tint="0.3999755851924192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theme="1" tint="0.249977111117893"/>
      </left>
      <right/>
      <top style="medium">
        <color theme="1" tint="0.249977111117893"/>
      </top>
      <bottom/>
      <diagonal/>
    </border>
    <border>
      <left style="medium">
        <color theme="1" tint="0.249977111117893"/>
      </left>
      <right/>
      <top/>
      <bottom style="medium">
        <color theme="1" tint="0.249977111117893"/>
      </bottom>
      <diagonal/>
    </border>
    <border>
      <left style="medium">
        <color theme="1" tint="0.249977111117893"/>
      </left>
      <right style="medium">
        <color theme="1" tint="0.249977111117893"/>
      </right>
      <top style="medium">
        <color theme="1" tint="0.249977111117893"/>
      </top>
      <bottom/>
      <diagonal/>
    </border>
    <border>
      <left style="medium">
        <color theme="1" tint="0.249977111117893"/>
      </left>
      <right style="medium">
        <color theme="1" tint="0.249977111117893"/>
      </right>
      <top/>
      <bottom style="medium">
        <color theme="1" tint="0.249977111117893"/>
      </bottom>
      <diagonal/>
    </border>
    <border>
      <left style="medium">
        <color theme="1" tint="0.249977111117893"/>
      </left>
      <right/>
      <top style="medium">
        <color theme="1" tint="0.249977111117893"/>
      </top>
      <bottom style="medium">
        <color theme="1" tint="0.249977111117893"/>
      </bottom>
      <diagonal/>
    </border>
    <border>
      <left/>
      <right style="medium">
        <color theme="1" tint="0.249977111117893"/>
      </right>
      <top style="medium">
        <color theme="1" tint="0.249977111117893"/>
      </top>
      <bottom style="medium">
        <color theme="1" tint="0.249977111117893"/>
      </bottom>
      <diagonal/>
    </border>
    <border>
      <left/>
      <right/>
      <top/>
      <bottom style="medium">
        <color theme="1" tint="0.249977111117893"/>
      </bottom>
      <diagonal/>
    </border>
    <border>
      <left style="medium">
        <color theme="1" tint="0.249977111117893"/>
      </left>
      <right style="medium">
        <color theme="1" tint="0.249977111117893"/>
      </right>
      <top style="medium">
        <color theme="1" tint="0.249977111117893"/>
      </top>
      <bottom style="medium">
        <color theme="1" tint="0.249977111117893"/>
      </bottom>
      <diagonal/>
    </border>
    <border>
      <left/>
      <right/>
      <top style="medium">
        <color theme="1" tint="0.249977111117893"/>
      </top>
      <bottom/>
      <diagonal/>
    </border>
    <border>
      <left/>
      <right/>
      <top style="medium">
        <color theme="1" tint="0.249977111117893"/>
      </top>
      <bottom style="medium">
        <color theme="1" tint="0.249977111117893"/>
      </bottom>
      <diagonal/>
    </border>
    <border>
      <left style="medium">
        <color theme="1" tint="0.249977111117893"/>
      </left>
      <right style="thin">
        <color auto="1"/>
      </right>
      <top style="medium">
        <color theme="1" tint="0.249977111117893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theme="1" tint="0.249977111117893"/>
      </top>
      <bottom style="hair">
        <color auto="1"/>
      </bottom>
      <diagonal/>
    </border>
    <border>
      <left style="thin">
        <color auto="1"/>
      </left>
      <right/>
      <top style="medium">
        <color theme="1" tint="0.249977111117893"/>
      </top>
      <bottom style="hair">
        <color auto="1"/>
      </bottom>
      <diagonal/>
    </border>
    <border>
      <left style="thin">
        <color auto="1"/>
      </left>
      <right style="medium">
        <color theme="1" tint="0.249977111117893"/>
      </right>
      <top style="medium">
        <color theme="1" tint="0.249977111117893"/>
      </top>
      <bottom style="hair">
        <color auto="1"/>
      </bottom>
      <diagonal/>
    </border>
    <border>
      <left style="medium">
        <color theme="1" tint="0.249977111117893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theme="1" tint="0.249977111117893"/>
      </right>
      <top style="hair">
        <color auto="1"/>
      </top>
      <bottom style="hair">
        <color auto="1"/>
      </bottom>
      <diagonal/>
    </border>
    <border>
      <left style="medium">
        <color theme="1" tint="0.249977111117893"/>
      </left>
      <right style="thin">
        <color auto="1"/>
      </right>
      <top style="hair">
        <color auto="1"/>
      </top>
      <bottom style="medium">
        <color theme="1" tint="0.249977111117893"/>
      </bottom>
      <diagonal/>
    </border>
    <border>
      <left/>
      <right style="thin">
        <color auto="1"/>
      </right>
      <top style="hair">
        <color auto="1"/>
      </top>
      <bottom style="medium">
        <color theme="1" tint="0.249977111117893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theme="1" tint="0.249977111117893"/>
      </bottom>
      <diagonal/>
    </border>
    <border>
      <left style="thin">
        <color auto="1"/>
      </left>
      <right/>
      <top style="hair">
        <color auto="1"/>
      </top>
      <bottom style="medium">
        <color theme="1" tint="0.249977111117893"/>
      </bottom>
      <diagonal/>
    </border>
    <border>
      <left style="thin">
        <color auto="1"/>
      </left>
      <right style="medium">
        <color theme="1" tint="0.249977111117893"/>
      </right>
      <top style="hair">
        <color auto="1"/>
      </top>
      <bottom style="medium">
        <color theme="1" tint="0.249977111117893"/>
      </bottom>
      <diagonal/>
    </border>
  </borders>
  <cellStyleXfs count="4">
    <xf numFmtId="0" fontId="0" fillId="0" borderId="0"/>
    <xf numFmtId="16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" fillId="0" borderId="0"/>
  </cellStyleXfs>
  <cellXfs count="1091">
    <xf numFmtId="0" fontId="0" fillId="0" borderId="0" xfId="0"/>
    <xf numFmtId="0" fontId="1" fillId="9" borderId="86" xfId="0" applyFont="1" applyFill="1" applyBorder="1" applyAlignment="1">
      <alignment horizontal="center" vertical="center"/>
    </xf>
    <xf numFmtId="0" fontId="13" fillId="9" borderId="87" xfId="0" applyFont="1" applyFill="1" applyBorder="1" applyAlignment="1">
      <alignment horizontal="center" vertical="center" wrapText="1"/>
    </xf>
    <xf numFmtId="0" fontId="13" fillId="9" borderId="86" xfId="0" applyFont="1" applyFill="1" applyBorder="1" applyAlignment="1">
      <alignment horizontal="center" vertical="center" wrapText="1"/>
    </xf>
    <xf numFmtId="4" fontId="13" fillId="9" borderId="85" xfId="0" applyNumberFormat="1" applyFont="1" applyFill="1" applyBorder="1" applyAlignment="1">
      <alignment horizontal="center" vertical="center" wrapText="1"/>
    </xf>
    <xf numFmtId="4" fontId="13" fillId="9" borderId="84" xfId="0" applyNumberFormat="1" applyFont="1" applyFill="1" applyBorder="1" applyAlignment="1">
      <alignment horizontal="center" vertical="center" wrapText="1"/>
    </xf>
    <xf numFmtId="4" fontId="13" fillId="9" borderId="88" xfId="0" applyNumberFormat="1" applyFont="1" applyFill="1" applyBorder="1" applyAlignment="1">
      <alignment horizontal="center" vertical="center" wrapText="1"/>
    </xf>
    <xf numFmtId="4" fontId="13" fillId="9" borderId="90" xfId="0" applyNumberFormat="1" applyFont="1" applyFill="1" applyBorder="1" applyAlignment="1">
      <alignment horizontal="center" vertical="center" wrapText="1"/>
    </xf>
    <xf numFmtId="0" fontId="12" fillId="9" borderId="83" xfId="0" applyFont="1" applyFill="1" applyBorder="1" applyAlignment="1">
      <alignment horizontal="center" vertical="center"/>
    </xf>
    <xf numFmtId="0" fontId="12" fillId="9" borderId="82" xfId="0" applyFont="1" applyFill="1" applyBorder="1" applyAlignment="1">
      <alignment horizontal="center" vertical="center"/>
    </xf>
    <xf numFmtId="0" fontId="13" fillId="9" borderId="85" xfId="0" applyFont="1" applyFill="1" applyBorder="1" applyAlignment="1">
      <alignment horizontal="center" vertical="center" wrapText="1"/>
    </xf>
    <xf numFmtId="0" fontId="13" fillId="9" borderId="84" xfId="0" applyFont="1" applyFill="1" applyBorder="1" applyAlignment="1">
      <alignment horizontal="center" vertical="center" wrapText="1"/>
    </xf>
    <xf numFmtId="0" fontId="12" fillId="5" borderId="87" xfId="0" applyFont="1" applyFill="1" applyBorder="1" applyAlignment="1">
      <alignment horizontal="center"/>
    </xf>
    <xf numFmtId="0" fontId="12" fillId="5" borderId="91" xfId="0" applyFont="1" applyFill="1" applyBorder="1" applyAlignment="1">
      <alignment horizontal="center"/>
    </xf>
    <xf numFmtId="0" fontId="12" fillId="5" borderId="86" xfId="0" applyFont="1" applyFill="1" applyBorder="1" applyAlignment="1">
      <alignment horizontal="center"/>
    </xf>
    <xf numFmtId="0" fontId="1" fillId="9" borderId="91" xfId="0" applyFont="1" applyFill="1" applyBorder="1" applyAlignment="1">
      <alignment horizontal="center" vertical="center"/>
    </xf>
    <xf numFmtId="0" fontId="13" fillId="2" borderId="86" xfId="0" applyFont="1" applyFill="1" applyBorder="1" applyAlignment="1">
      <alignment horizontal="right"/>
    </xf>
    <xf numFmtId="165" fontId="0" fillId="0" borderId="0" xfId="0" applyNumberFormat="1"/>
    <xf numFmtId="164" fontId="0" fillId="0" borderId="0" xfId="1" applyFont="1"/>
    <xf numFmtId="164" fontId="0" fillId="0" borderId="0" xfId="0" applyNumberFormat="1"/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ill="1" applyBorder="1"/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vertical="center"/>
    </xf>
    <xf numFmtId="0" fontId="0" fillId="4" borderId="2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164" fontId="0" fillId="0" borderId="0" xfId="1" applyFont="1" applyBorder="1"/>
    <xf numFmtId="0" fontId="0" fillId="0" borderId="0" xfId="0" applyBorder="1"/>
    <xf numFmtId="4" fontId="4" fillId="0" borderId="0" xfId="0" applyNumberFormat="1" applyFont="1" applyFill="1" applyBorder="1" applyAlignment="1">
      <alignment horizontal="left" vertical="top" shrinkToFit="1"/>
    </xf>
    <xf numFmtId="164" fontId="4" fillId="0" borderId="0" xfId="1" applyFont="1" applyBorder="1" applyAlignment="1">
      <alignment vertical="center"/>
    </xf>
    <xf numFmtId="164" fontId="0" fillId="0" borderId="0" xfId="0" applyNumberFormat="1" applyBorder="1"/>
    <xf numFmtId="166" fontId="0" fillId="0" borderId="0" xfId="0" applyNumberFormat="1"/>
    <xf numFmtId="164" fontId="9" fillId="0" borderId="0" xfId="1" applyFont="1"/>
    <xf numFmtId="164" fontId="9" fillId="0" borderId="5" xfId="1" applyFont="1" applyBorder="1" applyAlignment="1"/>
    <xf numFmtId="0" fontId="1" fillId="2" borderId="1" xfId="0" applyFont="1" applyFill="1" applyBorder="1" applyAlignment="1">
      <alignment horizontal="left" vertical="center"/>
    </xf>
    <xf numFmtId="0" fontId="0" fillId="4" borderId="2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11" fillId="0" borderId="6" xfId="0" applyFont="1" applyBorder="1"/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0" borderId="0" xfId="0" applyFill="1"/>
    <xf numFmtId="0" fontId="12" fillId="0" borderId="7" xfId="0" applyFont="1" applyBorder="1" applyAlignment="1">
      <alignment horizontal="center"/>
    </xf>
    <xf numFmtId="164" fontId="14" fillId="0" borderId="8" xfId="1" applyFont="1" applyBorder="1"/>
    <xf numFmtId="0" fontId="12" fillId="0" borderId="9" xfId="0" applyFont="1" applyFill="1" applyBorder="1"/>
    <xf numFmtId="0" fontId="12" fillId="0" borderId="1" xfId="0" applyFont="1" applyFill="1" applyBorder="1"/>
    <xf numFmtId="0" fontId="12" fillId="0" borderId="10" xfId="0" applyFont="1" applyBorder="1" applyAlignment="1">
      <alignment horizontal="center"/>
    </xf>
    <xf numFmtId="0" fontId="14" fillId="0" borderId="1" xfId="0" applyFont="1" applyFill="1" applyBorder="1"/>
    <xf numFmtId="0" fontId="14" fillId="0" borderId="1" xfId="0" applyFont="1" applyBorder="1"/>
    <xf numFmtId="4" fontId="15" fillId="0" borderId="1" xfId="0" applyNumberFormat="1" applyFont="1" applyFill="1" applyBorder="1" applyAlignment="1">
      <alignment horizontal="left" vertical="top" shrinkToFit="1"/>
    </xf>
    <xf numFmtId="164" fontId="15" fillId="0" borderId="1" xfId="1" applyFont="1" applyBorder="1" applyAlignment="1">
      <alignment vertical="center"/>
    </xf>
    <xf numFmtId="0" fontId="12" fillId="0" borderId="1" xfId="0" applyFont="1" applyBorder="1"/>
    <xf numFmtId="164" fontId="14" fillId="0" borderId="1" xfId="1" applyFont="1" applyBorder="1"/>
    <xf numFmtId="0" fontId="12" fillId="0" borderId="11" xfId="0" applyFont="1" applyBorder="1"/>
    <xf numFmtId="164" fontId="14" fillId="0" borderId="1" xfId="0" applyNumberFormat="1" applyFont="1" applyBorder="1"/>
    <xf numFmtId="0" fontId="12" fillId="0" borderId="12" xfId="0" applyFont="1" applyFill="1" applyBorder="1"/>
    <xf numFmtId="0" fontId="12" fillId="0" borderId="13" xfId="0" applyFont="1" applyBorder="1" applyAlignment="1">
      <alignment horizontal="center"/>
    </xf>
    <xf numFmtId="164" fontId="15" fillId="0" borderId="14" xfId="1" applyFont="1" applyBorder="1" applyAlignment="1">
      <alignment vertical="center"/>
    </xf>
    <xf numFmtId="0" fontId="16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Fill="1"/>
    <xf numFmtId="0" fontId="12" fillId="5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4" fillId="7" borderId="1" xfId="0" applyFont="1" applyFill="1" applyBorder="1"/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Fill="1" applyBorder="1"/>
    <xf numFmtId="0" fontId="14" fillId="0" borderId="0" xfId="0" applyFont="1" applyBorder="1"/>
    <xf numFmtId="164" fontId="12" fillId="5" borderId="1" xfId="1" applyFont="1" applyFill="1" applyBorder="1" applyAlignment="1">
      <alignment horizontal="center"/>
    </xf>
    <xf numFmtId="164" fontId="14" fillId="0" borderId="0" xfId="1" applyFont="1" applyBorder="1"/>
    <xf numFmtId="164" fontId="15" fillId="0" borderId="1" xfId="1" applyFont="1" applyBorder="1" applyAlignment="1">
      <alignment vertical="center" wrapText="1"/>
    </xf>
    <xf numFmtId="0" fontId="13" fillId="6" borderId="14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/>
    <xf numFmtId="164" fontId="14" fillId="0" borderId="1" xfId="1" applyFont="1" applyFill="1" applyBorder="1"/>
    <xf numFmtId="4" fontId="15" fillId="0" borderId="1" xfId="0" applyNumberFormat="1" applyFont="1" applyFill="1" applyBorder="1" applyAlignment="1">
      <alignment horizontal="left" shrinkToFit="1"/>
    </xf>
    <xf numFmtId="4" fontId="18" fillId="0" borderId="1" xfId="0" applyNumberFormat="1" applyFont="1" applyFill="1" applyBorder="1" applyAlignment="1">
      <alignment horizontal="left" shrinkToFit="1"/>
    </xf>
    <xf numFmtId="0" fontId="12" fillId="0" borderId="16" xfId="0" applyFont="1" applyFill="1" applyBorder="1"/>
    <xf numFmtId="44" fontId="14" fillId="0" borderId="1" xfId="1" applyNumberFormat="1" applyFont="1" applyBorder="1"/>
    <xf numFmtId="0" fontId="14" fillId="0" borderId="1" xfId="0" applyFont="1" applyBorder="1" applyAlignment="1">
      <alignment horizontal="right"/>
    </xf>
    <xf numFmtId="44" fontId="14" fillId="0" borderId="1" xfId="0" applyNumberFormat="1" applyFont="1" applyBorder="1"/>
    <xf numFmtId="4" fontId="0" fillId="0" borderId="0" xfId="0" applyNumberFormat="1"/>
    <xf numFmtId="4" fontId="14" fillId="0" borderId="0" xfId="0" applyNumberFormat="1" applyFont="1" applyBorder="1"/>
    <xf numFmtId="4" fontId="14" fillId="0" borderId="0" xfId="0" applyNumberFormat="1" applyFont="1"/>
    <xf numFmtId="0" fontId="12" fillId="0" borderId="17" xfId="0" applyFont="1" applyFill="1" applyBorder="1"/>
    <xf numFmtId="0" fontId="14" fillId="0" borderId="18" xfId="0" applyFont="1" applyBorder="1"/>
    <xf numFmtId="164" fontId="14" fillId="0" borderId="18" xfId="1" applyFont="1" applyBorder="1"/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horizontal="center"/>
    </xf>
    <xf numFmtId="4" fontId="14" fillId="0" borderId="18" xfId="1" applyNumberFormat="1" applyFont="1" applyBorder="1"/>
    <xf numFmtId="4" fontId="16" fillId="0" borderId="0" xfId="0" applyNumberFormat="1" applyFont="1" applyFill="1" applyBorder="1" applyAlignment="1">
      <alignment horizontal="center"/>
    </xf>
    <xf numFmtId="4" fontId="14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" fontId="15" fillId="0" borderId="18" xfId="0" applyNumberFormat="1" applyFont="1" applyFill="1" applyBorder="1" applyAlignment="1">
      <alignment horizontal="center" vertical="top" shrinkToFit="1"/>
    </xf>
    <xf numFmtId="0" fontId="14" fillId="0" borderId="0" xfId="0" applyFont="1" applyAlignment="1">
      <alignment horizontal="center"/>
    </xf>
    <xf numFmtId="4" fontId="14" fillId="8" borderId="18" xfId="1" applyNumberFormat="1" applyFont="1" applyFill="1" applyBorder="1"/>
    <xf numFmtId="0" fontId="13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right"/>
    </xf>
    <xf numFmtId="164" fontId="0" fillId="0" borderId="0" xfId="1" applyFont="1" applyFill="1" applyBorder="1" applyAlignment="1">
      <alignment horizontal="center"/>
    </xf>
    <xf numFmtId="0" fontId="21" fillId="0" borderId="0" xfId="0" applyFont="1"/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4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164" fontId="9" fillId="0" borderId="0" xfId="1" applyFont="1" applyBorder="1" applyAlignment="1"/>
    <xf numFmtId="0" fontId="1" fillId="2" borderId="14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right" vertical="center"/>
    </xf>
    <xf numFmtId="0" fontId="0" fillId="3" borderId="4" xfId="0" applyFont="1" applyFill="1" applyBorder="1" applyAlignment="1">
      <alignment horizontal="right" vertical="center"/>
    </xf>
    <xf numFmtId="0" fontId="0" fillId="3" borderId="3" xfId="0" applyFont="1" applyFill="1" applyBorder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right" vertical="center" wrapText="1"/>
    </xf>
    <xf numFmtId="0" fontId="0" fillId="3" borderId="4" xfId="0" applyFont="1" applyFill="1" applyBorder="1" applyAlignment="1">
      <alignment horizontal="right" vertical="center" wrapText="1"/>
    </xf>
    <xf numFmtId="0" fontId="0" fillId="3" borderId="3" xfId="0" applyFont="1" applyFill="1" applyBorder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164" fontId="0" fillId="0" borderId="0" xfId="1" applyFont="1" applyAlignment="1">
      <alignment vertical="center"/>
    </xf>
    <xf numFmtId="164" fontId="9" fillId="0" borderId="0" xfId="1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164" fontId="0" fillId="0" borderId="0" xfId="1" applyFont="1" applyAlignment="1">
      <alignment vertical="center" wrapText="1"/>
    </xf>
    <xf numFmtId="0" fontId="9" fillId="0" borderId="0" xfId="0" applyFont="1" applyAlignment="1">
      <alignment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0" fillId="9" borderId="20" xfId="0" applyFill="1" applyBorder="1" applyAlignment="1">
      <alignment vertical="center" wrapText="1"/>
    </xf>
    <xf numFmtId="164" fontId="9" fillId="0" borderId="0" xfId="1" applyFont="1" applyAlignment="1">
      <alignment vertical="center"/>
    </xf>
    <xf numFmtId="166" fontId="0" fillId="0" borderId="0" xfId="0" applyNumberFormat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9" borderId="20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3" fillId="9" borderId="2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ont="1" applyAlignment="1">
      <alignment vertical="center"/>
    </xf>
    <xf numFmtId="165" fontId="0" fillId="0" borderId="0" xfId="0" applyNumberFormat="1" applyFont="1" applyAlignment="1">
      <alignment horizontal="right" vertical="center"/>
    </xf>
    <xf numFmtId="0" fontId="0" fillId="9" borderId="20" xfId="0" applyFill="1" applyBorder="1" applyAlignment="1">
      <alignment vertical="center"/>
    </xf>
    <xf numFmtId="0" fontId="0" fillId="0" borderId="0" xfId="0" applyFont="1" applyAlignment="1">
      <alignment horizontal="right" vertical="center"/>
    </xf>
    <xf numFmtId="166" fontId="0" fillId="0" borderId="0" xfId="0" applyNumberFormat="1" applyFont="1" applyAlignment="1">
      <alignment vertical="center"/>
    </xf>
    <xf numFmtId="0" fontId="1" fillId="0" borderId="8" xfId="0" applyFont="1" applyFill="1" applyBorder="1" applyAlignment="1">
      <alignment vertical="center"/>
    </xf>
    <xf numFmtId="0" fontId="0" fillId="3" borderId="21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13" fillId="2" borderId="88" xfId="0" applyFont="1" applyFill="1" applyBorder="1" applyAlignment="1">
      <alignment horizontal="center" vertical="center" wrapText="1"/>
    </xf>
    <xf numFmtId="0" fontId="13" fillId="2" borderId="89" xfId="0" applyFont="1" applyFill="1" applyBorder="1" applyAlignment="1">
      <alignment horizontal="center" vertical="center" wrapText="1"/>
    </xf>
    <xf numFmtId="0" fontId="12" fillId="0" borderId="92" xfId="0" applyFont="1" applyBorder="1" applyAlignment="1">
      <alignment horizontal="center"/>
    </xf>
    <xf numFmtId="0" fontId="12" fillId="0" borderId="93" xfId="0" applyFont="1" applyFill="1" applyBorder="1"/>
    <xf numFmtId="0" fontId="14" fillId="0" borderId="93" xfId="0" applyFont="1" applyBorder="1"/>
    <xf numFmtId="4" fontId="15" fillId="0" borderId="93" xfId="0" applyNumberFormat="1" applyFont="1" applyFill="1" applyBorder="1" applyAlignment="1">
      <alignment horizontal="center" vertical="top" shrinkToFit="1"/>
    </xf>
    <xf numFmtId="4" fontId="14" fillId="8" borderId="93" xfId="1" applyNumberFormat="1" applyFont="1" applyFill="1" applyBorder="1"/>
    <xf numFmtId="4" fontId="14" fillId="0" borderId="93" xfId="1" applyNumberFormat="1" applyFont="1" applyBorder="1"/>
    <xf numFmtId="164" fontId="14" fillId="0" borderId="93" xfId="1" applyFont="1" applyBorder="1"/>
    <xf numFmtId="0" fontId="14" fillId="0" borderId="93" xfId="0" applyFont="1" applyBorder="1" applyAlignment="1">
      <alignment vertical="center"/>
    </xf>
    <xf numFmtId="0" fontId="14" fillId="0" borderId="94" xfId="0" applyFont="1" applyBorder="1" applyAlignment="1">
      <alignment horizontal="center"/>
    </xf>
    <xf numFmtId="4" fontId="14" fillId="0" borderId="95" xfId="0" applyNumberFormat="1" applyFont="1" applyBorder="1"/>
    <xf numFmtId="0" fontId="12" fillId="0" borderId="96" xfId="0" applyFont="1" applyBorder="1" applyAlignment="1">
      <alignment horizontal="center"/>
    </xf>
    <xf numFmtId="4" fontId="14" fillId="0" borderId="97" xfId="0" applyNumberFormat="1" applyFont="1" applyBorder="1"/>
    <xf numFmtId="0" fontId="12" fillId="0" borderId="98" xfId="0" applyFont="1" applyBorder="1" applyAlignment="1">
      <alignment horizontal="center"/>
    </xf>
    <xf numFmtId="0" fontId="12" fillId="0" borderId="99" xfId="0" applyFont="1" applyFill="1" applyBorder="1"/>
    <xf numFmtId="0" fontId="14" fillId="0" borderId="100" xfId="0" applyFont="1" applyBorder="1"/>
    <xf numFmtId="4" fontId="15" fillId="0" borderId="100" xfId="0" applyNumberFormat="1" applyFont="1" applyFill="1" applyBorder="1" applyAlignment="1">
      <alignment horizontal="center" vertical="top" shrinkToFit="1"/>
    </xf>
    <xf numFmtId="4" fontId="14" fillId="8" borderId="100" xfId="1" applyNumberFormat="1" applyFont="1" applyFill="1" applyBorder="1"/>
    <xf numFmtId="4" fontId="14" fillId="0" borderId="100" xfId="1" applyNumberFormat="1" applyFont="1" applyBorder="1"/>
    <xf numFmtId="164" fontId="14" fillId="0" borderId="100" xfId="1" applyFont="1" applyBorder="1"/>
    <xf numFmtId="0" fontId="14" fillId="0" borderId="100" xfId="0" applyFont="1" applyBorder="1" applyAlignment="1">
      <alignment vertical="center"/>
    </xf>
    <xf numFmtId="0" fontId="14" fillId="0" borderId="101" xfId="0" applyFont="1" applyBorder="1" applyAlignment="1">
      <alignment horizontal="center"/>
    </xf>
    <xf numFmtId="4" fontId="14" fillId="0" borderId="102" xfId="0" applyNumberFormat="1" applyFont="1" applyBorder="1"/>
    <xf numFmtId="4" fontId="12" fillId="8" borderId="89" xfId="0" applyNumberFormat="1" applyFont="1" applyFill="1" applyBorder="1"/>
    <xf numFmtId="4" fontId="12" fillId="18" borderId="89" xfId="0" applyNumberFormat="1" applyFont="1" applyFill="1" applyBorder="1"/>
    <xf numFmtId="4" fontId="14" fillId="9" borderId="89" xfId="0" applyNumberFormat="1" applyFont="1" applyFill="1" applyBorder="1" applyAlignment="1">
      <alignment horizontal="right"/>
    </xf>
    <xf numFmtId="0" fontId="13" fillId="2" borderId="91" xfId="0" applyFont="1" applyFill="1" applyBorder="1" applyAlignment="1">
      <alignment horizontal="right"/>
    </xf>
    <xf numFmtId="0" fontId="13" fillId="9" borderId="86" xfId="0" applyFont="1" applyFill="1" applyBorder="1" applyAlignment="1">
      <alignment horizontal="right"/>
    </xf>
    <xf numFmtId="0" fontId="13" fillId="9" borderId="91" xfId="0" applyFont="1" applyFill="1" applyBorder="1" applyAlignment="1">
      <alignment horizontal="right"/>
    </xf>
    <xf numFmtId="0" fontId="12" fillId="9" borderId="84" xfId="0" applyFont="1" applyFill="1" applyBorder="1" applyAlignment="1">
      <alignment horizontal="center" vertical="center"/>
    </xf>
    <xf numFmtId="0" fontId="12" fillId="9" borderId="85" xfId="0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/>
    </xf>
    <xf numFmtId="0" fontId="17" fillId="10" borderId="4" xfId="0" applyFont="1" applyFill="1" applyBorder="1" applyAlignment="1">
      <alignment horizontal="center"/>
    </xf>
    <xf numFmtId="0" fontId="17" fillId="10" borderId="3" xfId="0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11" borderId="2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4" fontId="0" fillId="4" borderId="1" xfId="0" applyNumberFormat="1" applyFill="1" applyBorder="1" applyAlignment="1">
      <alignment horizontal="center"/>
    </xf>
    <xf numFmtId="4" fontId="0" fillId="4" borderId="2" xfId="0" applyNumberFormat="1" applyFill="1" applyBorder="1" applyAlignment="1">
      <alignment horizontal="center"/>
    </xf>
    <xf numFmtId="4" fontId="0" fillId="4" borderId="4" xfId="0" applyNumberFormat="1" applyFill="1" applyBorder="1" applyAlignment="1">
      <alignment horizontal="center"/>
    </xf>
    <xf numFmtId="4" fontId="0" fillId="4" borderId="3" xfId="0" applyNumberForma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164" fontId="0" fillId="4" borderId="1" xfId="1" applyFont="1" applyFill="1" applyBorder="1" applyAlignment="1">
      <alignment horizontal="center"/>
    </xf>
    <xf numFmtId="0" fontId="0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164" fontId="0" fillId="0" borderId="2" xfId="1" applyFont="1" applyFill="1" applyBorder="1" applyAlignment="1">
      <alignment horizontal="center" vertical="center"/>
    </xf>
    <xf numFmtId="164" fontId="0" fillId="0" borderId="4" xfId="1" applyFont="1" applyFill="1" applyBorder="1" applyAlignment="1">
      <alignment horizontal="center" vertical="center"/>
    </xf>
    <xf numFmtId="164" fontId="0" fillId="0" borderId="3" xfId="1" applyFont="1" applyFill="1" applyBorder="1" applyAlignment="1">
      <alignment horizontal="center" vertical="center"/>
    </xf>
    <xf numFmtId="165" fontId="0" fillId="4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4" fontId="0" fillId="0" borderId="1" xfId="1" applyFont="1" applyBorder="1" applyAlignment="1">
      <alignment horizontal="center"/>
    </xf>
    <xf numFmtId="0" fontId="6" fillId="12" borderId="2" xfId="0" applyFont="1" applyFill="1" applyBorder="1" applyAlignment="1">
      <alignment horizontal="center"/>
    </xf>
    <xf numFmtId="0" fontId="6" fillId="12" borderId="4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"/>
    </xf>
    <xf numFmtId="164" fontId="3" fillId="12" borderId="1" xfId="1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165" fontId="0" fillId="0" borderId="2" xfId="2" applyNumberFormat="1" applyFont="1" applyBorder="1" applyAlignment="1">
      <alignment horizontal="center"/>
    </xf>
    <xf numFmtId="165" fontId="0" fillId="0" borderId="4" xfId="2" applyNumberFormat="1" applyFont="1" applyBorder="1" applyAlignment="1">
      <alignment horizontal="center"/>
    </xf>
    <xf numFmtId="165" fontId="0" fillId="0" borderId="3" xfId="2" applyNumberFormat="1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65" fontId="0" fillId="4" borderId="1" xfId="0" applyNumberFormat="1" applyFill="1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0" fontId="6" fillId="11" borderId="2" xfId="0" applyFont="1" applyFill="1" applyBorder="1" applyAlignment="1">
      <alignment horizontal="center" wrapText="1"/>
    </xf>
    <xf numFmtId="0" fontId="6" fillId="11" borderId="4" xfId="0" applyFont="1" applyFill="1" applyBorder="1" applyAlignment="1">
      <alignment horizontal="center" wrapText="1"/>
    </xf>
    <xf numFmtId="0" fontId="6" fillId="11" borderId="3" xfId="0" applyFont="1" applyFill="1" applyBorder="1" applyAlignment="1">
      <alignment horizontal="center" wrapText="1"/>
    </xf>
    <xf numFmtId="0" fontId="0" fillId="4" borderId="21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165" fontId="0" fillId="4" borderId="1" xfId="2" applyNumberFormat="1" applyFont="1" applyFill="1" applyBorder="1" applyAlignment="1">
      <alignment horizontal="right"/>
    </xf>
    <xf numFmtId="0" fontId="1" fillId="11" borderId="1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165" fontId="0" fillId="4" borderId="2" xfId="0" applyNumberFormat="1" applyFill="1" applyBorder="1" applyAlignment="1">
      <alignment horizontal="right"/>
    </xf>
    <xf numFmtId="165" fontId="0" fillId="4" borderId="4" xfId="0" applyNumberFormat="1" applyFill="1" applyBorder="1" applyAlignment="1">
      <alignment horizontal="right"/>
    </xf>
    <xf numFmtId="165" fontId="0" fillId="4" borderId="3" xfId="0" applyNumberFormat="1" applyFill="1" applyBorder="1" applyAlignment="1">
      <alignment horizontal="right"/>
    </xf>
    <xf numFmtId="165" fontId="1" fillId="4" borderId="2" xfId="0" applyNumberFormat="1" applyFont="1" applyFill="1" applyBorder="1" applyAlignment="1">
      <alignment horizontal="right"/>
    </xf>
    <xf numFmtId="165" fontId="1" fillId="4" borderId="4" xfId="0" applyNumberFormat="1" applyFont="1" applyFill="1" applyBorder="1" applyAlignment="1">
      <alignment horizontal="right"/>
    </xf>
    <xf numFmtId="165" fontId="1" fillId="4" borderId="3" xfId="0" applyNumberFormat="1" applyFont="1" applyFill="1" applyBorder="1" applyAlignment="1">
      <alignment horizontal="right"/>
    </xf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164" fontId="0" fillId="3" borderId="2" xfId="0" applyNumberFormat="1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65" fontId="0" fillId="0" borderId="2" xfId="2" applyNumberFormat="1" applyFont="1" applyBorder="1" applyAlignment="1">
      <alignment horizontal="right" vertical="center"/>
    </xf>
    <xf numFmtId="165" fontId="0" fillId="0" borderId="4" xfId="2" applyNumberFormat="1" applyFont="1" applyBorder="1" applyAlignment="1">
      <alignment horizontal="right" vertical="center"/>
    </xf>
    <xf numFmtId="165" fontId="0" fillId="0" borderId="3" xfId="2" applyNumberFormat="1" applyFont="1" applyBorder="1" applyAlignment="1">
      <alignment horizontal="right" vertical="center"/>
    </xf>
    <xf numFmtId="0" fontId="1" fillId="16" borderId="1" xfId="0" applyFont="1" applyFill="1" applyBorder="1" applyAlignment="1">
      <alignment horizontal="center"/>
    </xf>
    <xf numFmtId="164" fontId="0" fillId="16" borderId="1" xfId="0" applyNumberFormat="1" applyFont="1" applyFill="1" applyBorder="1" applyAlignment="1">
      <alignment horizontal="center"/>
    </xf>
    <xf numFmtId="0" fontId="0" fillId="16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15" borderId="2" xfId="0" applyFill="1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164" fontId="0" fillId="0" borderId="2" xfId="1" applyFont="1" applyBorder="1" applyAlignment="1">
      <alignment horizontal="center"/>
    </xf>
    <xf numFmtId="164" fontId="0" fillId="0" borderId="4" xfId="1" applyFont="1" applyBorder="1" applyAlignment="1">
      <alignment horizontal="center"/>
    </xf>
    <xf numFmtId="164" fontId="0" fillId="0" borderId="3" xfId="1" applyFont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165" fontId="1" fillId="12" borderId="2" xfId="0" applyNumberFormat="1" applyFont="1" applyFill="1" applyBorder="1" applyAlignment="1">
      <alignment horizontal="right"/>
    </xf>
    <xf numFmtId="165" fontId="1" fillId="12" borderId="4" xfId="0" applyNumberFormat="1" applyFont="1" applyFill="1" applyBorder="1" applyAlignment="1">
      <alignment horizontal="right"/>
    </xf>
    <xf numFmtId="165" fontId="1" fillId="12" borderId="3" xfId="0" applyNumberFormat="1" applyFont="1" applyFill="1" applyBorder="1" applyAlignment="1">
      <alignment horizontal="right"/>
    </xf>
    <xf numFmtId="164" fontId="0" fillId="12" borderId="1" xfId="1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wrapText="1"/>
    </xf>
    <xf numFmtId="0" fontId="0" fillId="3" borderId="3" xfId="0" applyFont="1" applyFill="1" applyBorder="1" applyAlignment="1">
      <alignment horizontal="center" wrapText="1"/>
    </xf>
    <xf numFmtId="0" fontId="1" fillId="13" borderId="14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 wrapText="1"/>
    </xf>
    <xf numFmtId="0" fontId="0" fillId="4" borderId="3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165" fontId="0" fillId="4" borderId="2" xfId="2" applyNumberFormat="1" applyFont="1" applyFill="1" applyBorder="1" applyAlignment="1">
      <alignment horizontal="right" vertical="center"/>
    </xf>
    <xf numFmtId="165" fontId="0" fillId="4" borderId="4" xfId="2" applyNumberFormat="1" applyFont="1" applyFill="1" applyBorder="1" applyAlignment="1">
      <alignment horizontal="right" vertical="center"/>
    </xf>
    <xf numFmtId="165" fontId="0" fillId="4" borderId="3" xfId="2" applyNumberFormat="1" applyFont="1" applyFill="1" applyBorder="1" applyAlignment="1">
      <alignment horizontal="right" vertical="center"/>
    </xf>
    <xf numFmtId="164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9" fontId="0" fillId="4" borderId="2" xfId="0" applyNumberFormat="1" applyFont="1" applyFill="1" applyBorder="1" applyAlignment="1">
      <alignment horizontal="center"/>
    </xf>
    <xf numFmtId="0" fontId="0" fillId="4" borderId="2" xfId="2" applyNumberFormat="1" applyFont="1" applyFill="1" applyBorder="1" applyAlignment="1">
      <alignment horizontal="center" vertical="center"/>
    </xf>
    <xf numFmtId="0" fontId="0" fillId="4" borderId="4" xfId="2" applyNumberFormat="1" applyFont="1" applyFill="1" applyBorder="1" applyAlignment="1">
      <alignment horizontal="center" vertical="center"/>
    </xf>
    <xf numFmtId="0" fontId="0" fillId="4" borderId="3" xfId="2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2" fillId="10" borderId="0" xfId="0" applyFont="1" applyFill="1" applyAlignment="1">
      <alignment horizontal="center"/>
    </xf>
    <xf numFmtId="0" fontId="0" fillId="3" borderId="52" xfId="0" applyFont="1" applyFill="1" applyBorder="1" applyAlignment="1">
      <alignment horizontal="center"/>
    </xf>
    <xf numFmtId="0" fontId="0" fillId="3" borderId="53" xfId="0" applyFont="1" applyFill="1" applyBorder="1" applyAlignment="1">
      <alignment horizontal="center"/>
    </xf>
    <xf numFmtId="0" fontId="0" fillId="3" borderId="54" xfId="0" applyFont="1" applyFill="1" applyBorder="1" applyAlignment="1">
      <alignment horizontal="center"/>
    </xf>
    <xf numFmtId="9" fontId="0" fillId="3" borderId="54" xfId="0" applyNumberFormat="1" applyFont="1" applyFill="1" applyBorder="1" applyAlignment="1"/>
    <xf numFmtId="0" fontId="0" fillId="3" borderId="68" xfId="0" applyFont="1" applyFill="1" applyBorder="1" applyAlignment="1"/>
    <xf numFmtId="0" fontId="0" fillId="3" borderId="53" xfId="0" applyFont="1" applyFill="1" applyBorder="1" applyAlignment="1"/>
    <xf numFmtId="164" fontId="0" fillId="3" borderId="54" xfId="0" applyNumberFormat="1" applyFont="1" applyFill="1" applyBorder="1" applyAlignment="1">
      <alignment horizontal="center"/>
    </xf>
    <xf numFmtId="0" fontId="0" fillId="3" borderId="68" xfId="0" applyFont="1" applyFill="1" applyBorder="1" applyAlignment="1">
      <alignment horizontal="center"/>
    </xf>
    <xf numFmtId="0" fontId="0" fillId="3" borderId="69" xfId="0" applyFont="1" applyFill="1" applyBorder="1" applyAlignment="1">
      <alignment horizontal="center"/>
    </xf>
    <xf numFmtId="0" fontId="22" fillId="9" borderId="65" xfId="0" applyFont="1" applyFill="1" applyBorder="1" applyAlignment="1">
      <alignment horizontal="center"/>
    </xf>
    <xf numFmtId="0" fontId="22" fillId="9" borderId="66" xfId="0" applyFont="1" applyFill="1" applyBorder="1" applyAlignment="1">
      <alignment horizontal="center"/>
    </xf>
    <xf numFmtId="0" fontId="22" fillId="9" borderId="67" xfId="0" applyFon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18" xfId="0" applyNumberFormat="1" applyBorder="1" applyAlignment="1">
      <alignment horizontal="right"/>
    </xf>
    <xf numFmtId="164" fontId="0" fillId="0" borderId="18" xfId="1" applyFont="1" applyBorder="1" applyAlignment="1">
      <alignment horizontal="center"/>
    </xf>
    <xf numFmtId="164" fontId="0" fillId="0" borderId="46" xfId="1" applyFont="1" applyBorder="1" applyAlignment="1">
      <alignment horizontal="center"/>
    </xf>
    <xf numFmtId="0" fontId="0" fillId="0" borderId="70" xfId="0" applyFill="1" applyBorder="1" applyAlignment="1">
      <alignment horizontal="center"/>
    </xf>
    <xf numFmtId="0" fontId="0" fillId="0" borderId="50" xfId="0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71" xfId="0" applyBorder="1" applyAlignment="1">
      <alignment horizontal="center"/>
    </xf>
    <xf numFmtId="165" fontId="0" fillId="0" borderId="49" xfId="0" applyNumberFormat="1" applyBorder="1" applyAlignment="1">
      <alignment horizontal="right"/>
    </xf>
    <xf numFmtId="165" fontId="0" fillId="0" borderId="71" xfId="0" applyNumberFormat="1" applyBorder="1" applyAlignment="1">
      <alignment horizontal="right"/>
    </xf>
    <xf numFmtId="165" fontId="0" fillId="0" borderId="50" xfId="0" applyNumberFormat="1" applyBorder="1" applyAlignment="1">
      <alignment horizontal="right"/>
    </xf>
    <xf numFmtId="164" fontId="0" fillId="0" borderId="48" xfId="1" applyFont="1" applyBorder="1" applyAlignment="1">
      <alignment horizontal="center"/>
    </xf>
    <xf numFmtId="164" fontId="0" fillId="0" borderId="51" xfId="1" applyFont="1" applyBorder="1" applyAlignment="1">
      <alignment horizontal="center"/>
    </xf>
    <xf numFmtId="0" fontId="1" fillId="2" borderId="24" xfId="0" applyFont="1" applyFill="1" applyBorder="1" applyAlignment="1">
      <alignment horizontal="center" wrapText="1"/>
    </xf>
    <xf numFmtId="0" fontId="1" fillId="2" borderId="25" xfId="0" applyFont="1" applyFill="1" applyBorder="1" applyAlignment="1">
      <alignment horizontal="center" wrapText="1"/>
    </xf>
    <xf numFmtId="0" fontId="1" fillId="2" borderId="26" xfId="0" applyFont="1" applyFill="1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165" fontId="0" fillId="0" borderId="55" xfId="2" applyNumberFormat="1" applyFont="1" applyBorder="1" applyAlignment="1">
      <alignment horizontal="right"/>
    </xf>
    <xf numFmtId="164" fontId="0" fillId="0" borderId="55" xfId="1" applyFont="1" applyBorder="1" applyAlignment="1">
      <alignment horizontal="center"/>
    </xf>
    <xf numFmtId="164" fontId="0" fillId="0" borderId="56" xfId="1" applyFont="1" applyBorder="1" applyAlignment="1">
      <alignment horizontal="center"/>
    </xf>
    <xf numFmtId="0" fontId="1" fillId="2" borderId="65" xfId="0" applyFont="1" applyFill="1" applyBorder="1" applyAlignment="1">
      <alignment horizontal="center"/>
    </xf>
    <xf numFmtId="0" fontId="1" fillId="2" borderId="66" xfId="0" applyFont="1" applyFill="1" applyBorder="1" applyAlignment="1">
      <alignment horizontal="center"/>
    </xf>
    <xf numFmtId="0" fontId="1" fillId="2" borderId="67" xfId="0" applyFont="1" applyFill="1" applyBorder="1" applyAlignment="1">
      <alignment horizontal="center"/>
    </xf>
    <xf numFmtId="0" fontId="22" fillId="9" borderId="24" xfId="0" applyFont="1" applyFill="1" applyBorder="1" applyAlignment="1">
      <alignment horizontal="center"/>
    </xf>
    <xf numFmtId="0" fontId="22" fillId="9" borderId="25" xfId="0" applyFont="1" applyFill="1" applyBorder="1" applyAlignment="1">
      <alignment horizontal="center"/>
    </xf>
    <xf numFmtId="0" fontId="22" fillId="9" borderId="26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165" fontId="1" fillId="2" borderId="41" xfId="0" applyNumberFormat="1" applyFont="1" applyFill="1" applyBorder="1" applyAlignment="1">
      <alignment horizontal="right"/>
    </xf>
    <xf numFmtId="165" fontId="1" fillId="2" borderId="42" xfId="0" applyNumberFormat="1" applyFont="1" applyFill="1" applyBorder="1" applyAlignment="1">
      <alignment horizontal="right"/>
    </xf>
    <xf numFmtId="165" fontId="1" fillId="2" borderId="43" xfId="0" applyNumberFormat="1" applyFont="1" applyFill="1" applyBorder="1" applyAlignment="1">
      <alignment horizontal="right"/>
    </xf>
    <xf numFmtId="164" fontId="0" fillId="2" borderId="40" xfId="1" applyFont="1" applyFill="1" applyBorder="1" applyAlignment="1">
      <alignment horizontal="center"/>
    </xf>
    <xf numFmtId="164" fontId="0" fillId="2" borderId="44" xfId="1" applyFont="1" applyFill="1" applyBorder="1" applyAlignment="1">
      <alignment horizontal="center"/>
    </xf>
    <xf numFmtId="165" fontId="0" fillId="0" borderId="55" xfId="0" applyNumberFormat="1" applyBorder="1" applyAlignment="1">
      <alignment horizontal="right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0" xfId="0" applyBorder="1" applyAlignment="1">
      <alignment horizontal="center"/>
    </xf>
    <xf numFmtId="165" fontId="0" fillId="0" borderId="48" xfId="0" applyNumberFormat="1" applyBorder="1" applyAlignment="1"/>
    <xf numFmtId="0" fontId="1" fillId="2" borderId="57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0" fillId="3" borderId="60" xfId="0" applyFont="1" applyFill="1" applyBorder="1" applyAlignment="1">
      <alignment horizontal="center"/>
    </xf>
    <xf numFmtId="0" fontId="0" fillId="3" borderId="61" xfId="0" applyFont="1" applyFill="1" applyBorder="1" applyAlignment="1">
      <alignment horizontal="center"/>
    </xf>
    <xf numFmtId="0" fontId="0" fillId="3" borderId="62" xfId="0" applyFont="1" applyFill="1" applyBorder="1" applyAlignment="1">
      <alignment horizontal="center"/>
    </xf>
    <xf numFmtId="9" fontId="0" fillId="3" borderId="62" xfId="0" applyNumberFormat="1" applyFont="1" applyFill="1" applyBorder="1" applyAlignment="1"/>
    <xf numFmtId="0" fontId="0" fillId="3" borderId="63" xfId="0" applyFont="1" applyFill="1" applyBorder="1" applyAlignment="1"/>
    <xf numFmtId="0" fontId="0" fillId="3" borderId="61" xfId="0" applyFont="1" applyFill="1" applyBorder="1" applyAlignment="1"/>
    <xf numFmtId="164" fontId="0" fillId="3" borderId="62" xfId="0" applyNumberFormat="1" applyFont="1" applyFill="1" applyBorder="1" applyAlignment="1">
      <alignment horizontal="center"/>
    </xf>
    <xf numFmtId="0" fontId="0" fillId="3" borderId="63" xfId="0" applyFont="1" applyFill="1" applyBorder="1" applyAlignment="1">
      <alignment horizontal="center"/>
    </xf>
    <xf numFmtId="0" fontId="0" fillId="3" borderId="64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2" fillId="9" borderId="24" xfId="0" applyFont="1" applyFill="1" applyBorder="1" applyAlignment="1">
      <alignment horizontal="center" vertical="center"/>
    </xf>
    <xf numFmtId="0" fontId="22" fillId="9" borderId="25" xfId="0" applyFont="1" applyFill="1" applyBorder="1" applyAlignment="1">
      <alignment horizontal="center" vertical="center"/>
    </xf>
    <xf numFmtId="0" fontId="22" fillId="9" borderId="26" xfId="0" applyFont="1" applyFill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4" fontId="0" fillId="0" borderId="14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2" borderId="14" xfId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1" fillId="9" borderId="65" xfId="0" applyFont="1" applyFill="1" applyBorder="1" applyAlignment="1">
      <alignment horizontal="center" vertical="center"/>
    </xf>
    <xf numFmtId="0" fontId="1" fillId="9" borderId="66" xfId="0" applyFont="1" applyFill="1" applyBorder="1" applyAlignment="1">
      <alignment horizontal="center" vertical="center"/>
    </xf>
    <xf numFmtId="0" fontId="1" fillId="9" borderId="67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 wrapText="1"/>
    </xf>
    <xf numFmtId="164" fontId="0" fillId="3" borderId="21" xfId="0" applyNumberFormat="1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165" fontId="0" fillId="0" borderId="72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164" fontId="0" fillId="0" borderId="72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164" fontId="0" fillId="0" borderId="16" xfId="1" applyFont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2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9" borderId="77" xfId="1" applyFont="1" applyFill="1" applyBorder="1" applyAlignment="1">
      <alignment horizontal="center" vertical="center"/>
    </xf>
    <xf numFmtId="164" fontId="0" fillId="9" borderId="66" xfId="1" applyFont="1" applyFill="1" applyBorder="1" applyAlignment="1">
      <alignment horizontal="center" vertical="center"/>
    </xf>
    <xf numFmtId="164" fontId="0" fillId="9" borderId="67" xfId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164" fontId="0" fillId="9" borderId="77" xfId="0" applyNumberFormat="1" applyFont="1" applyFill="1" applyBorder="1" applyAlignment="1">
      <alignment horizontal="center" vertical="center"/>
    </xf>
    <xf numFmtId="164" fontId="0" fillId="9" borderId="25" xfId="0" applyNumberFormat="1" applyFont="1" applyFill="1" applyBorder="1" applyAlignment="1">
      <alignment horizontal="center" vertical="center"/>
    </xf>
    <xf numFmtId="164" fontId="0" fillId="9" borderId="26" xfId="0" applyNumberFormat="1" applyFont="1" applyFill="1" applyBorder="1" applyAlignment="1">
      <alignment horizontal="center" vertical="center"/>
    </xf>
    <xf numFmtId="165" fontId="1" fillId="2" borderId="72" xfId="0" applyNumberFormat="1" applyFont="1" applyFill="1" applyBorder="1" applyAlignment="1">
      <alignment horizontal="right" vertical="center"/>
    </xf>
    <xf numFmtId="165" fontId="1" fillId="2" borderId="5" xfId="0" applyNumberFormat="1" applyFont="1" applyFill="1" applyBorder="1" applyAlignment="1">
      <alignment horizontal="right" vertical="center"/>
    </xf>
    <xf numFmtId="165" fontId="1" fillId="2" borderId="16" xfId="0" applyNumberFormat="1" applyFont="1" applyFill="1" applyBorder="1" applyAlignment="1">
      <alignment horizontal="right" vertical="center"/>
    </xf>
    <xf numFmtId="0" fontId="1" fillId="5" borderId="2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right" vertical="center"/>
    </xf>
    <xf numFmtId="0" fontId="0" fillId="9" borderId="66" xfId="0" applyFont="1" applyFill="1" applyBorder="1" applyAlignment="1">
      <alignment horizontal="center" vertical="center"/>
    </xf>
    <xf numFmtId="0" fontId="0" fillId="9" borderId="67" xfId="0" applyFont="1" applyFill="1" applyBorder="1" applyAlignment="1">
      <alignment horizontal="center" vertical="center"/>
    </xf>
    <xf numFmtId="0" fontId="1" fillId="5" borderId="65" xfId="0" applyFont="1" applyFill="1" applyBorder="1" applyAlignment="1">
      <alignment horizontal="center" vertical="center"/>
    </xf>
    <xf numFmtId="0" fontId="1" fillId="5" borderId="66" xfId="0" applyFont="1" applyFill="1" applyBorder="1" applyAlignment="1">
      <alignment horizontal="center" vertical="center"/>
    </xf>
    <xf numFmtId="0" fontId="1" fillId="5" borderId="6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9" borderId="24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right" vertical="center"/>
    </xf>
    <xf numFmtId="165" fontId="0" fillId="0" borderId="8" xfId="2" applyNumberFormat="1" applyFont="1" applyBorder="1" applyAlignment="1">
      <alignment horizontal="right" vertical="center"/>
    </xf>
    <xf numFmtId="164" fontId="0" fillId="0" borderId="8" xfId="1" applyFont="1" applyBorder="1" applyAlignment="1">
      <alignment horizontal="center" vertical="center"/>
    </xf>
    <xf numFmtId="165" fontId="0" fillId="0" borderId="21" xfId="2" applyNumberFormat="1" applyFont="1" applyBorder="1" applyAlignment="1">
      <alignment horizontal="center" vertical="center"/>
    </xf>
    <xf numFmtId="165" fontId="0" fillId="0" borderId="22" xfId="2" applyNumberFormat="1" applyFont="1" applyBorder="1" applyAlignment="1">
      <alignment horizontal="center" vertical="center"/>
    </xf>
    <xf numFmtId="165" fontId="0" fillId="0" borderId="23" xfId="2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0" fillId="0" borderId="7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64" fontId="1" fillId="18" borderId="24" xfId="1" applyFont="1" applyFill="1" applyBorder="1" applyAlignment="1">
      <alignment horizontal="center" vertical="center"/>
    </xf>
    <xf numFmtId="164" fontId="1" fillId="18" borderId="25" xfId="1" applyFont="1" applyFill="1" applyBorder="1" applyAlignment="1">
      <alignment horizontal="center" vertical="center"/>
    </xf>
    <xf numFmtId="164" fontId="1" fillId="18" borderId="26" xfId="1" applyFont="1" applyFill="1" applyBorder="1" applyAlignment="1">
      <alignment horizontal="center" vertical="center"/>
    </xf>
    <xf numFmtId="9" fontId="0" fillId="3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4" fontId="0" fillId="0" borderId="2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0" fillId="8" borderId="72" xfId="0" applyFont="1" applyFill="1" applyBorder="1" applyAlignment="1">
      <alignment horizontal="left" vertical="center" wrapText="1"/>
    </xf>
    <xf numFmtId="0" fontId="0" fillId="8" borderId="5" xfId="0" applyFont="1" applyFill="1" applyBorder="1" applyAlignment="1">
      <alignment horizontal="left" vertical="center" wrapText="1"/>
    </xf>
    <xf numFmtId="0" fontId="0" fillId="8" borderId="16" xfId="0" applyFont="1" applyFill="1" applyBorder="1" applyAlignment="1">
      <alignment horizontal="left" vertical="center" wrapText="1"/>
    </xf>
    <xf numFmtId="164" fontId="0" fillId="9" borderId="65" xfId="1" applyFont="1" applyFill="1" applyBorder="1" applyAlignment="1">
      <alignment horizontal="center" vertical="center"/>
    </xf>
    <xf numFmtId="164" fontId="0" fillId="8" borderId="21" xfId="1" applyFont="1" applyFill="1" applyBorder="1" applyAlignment="1">
      <alignment horizontal="center" vertical="center"/>
    </xf>
    <xf numFmtId="164" fontId="0" fillId="8" borderId="22" xfId="1" applyFont="1" applyFill="1" applyBorder="1" applyAlignment="1">
      <alignment horizontal="center" vertical="center"/>
    </xf>
    <xf numFmtId="164" fontId="0" fillId="8" borderId="23" xfId="1" applyFont="1" applyFill="1" applyBorder="1" applyAlignment="1">
      <alignment horizontal="center" vertical="center"/>
    </xf>
    <xf numFmtId="0" fontId="0" fillId="8" borderId="21" xfId="0" applyFont="1" applyFill="1" applyBorder="1" applyAlignment="1">
      <alignment horizontal="left" vertical="center" wrapText="1"/>
    </xf>
    <xf numFmtId="0" fontId="0" fillId="8" borderId="22" xfId="0" applyFont="1" applyFill="1" applyBorder="1" applyAlignment="1">
      <alignment horizontal="left" vertical="center" wrapText="1"/>
    </xf>
    <xf numFmtId="0" fontId="0" fillId="8" borderId="23" xfId="0" applyFont="1" applyFill="1" applyBorder="1" applyAlignment="1">
      <alignment horizontal="left" vertical="center" wrapText="1"/>
    </xf>
    <xf numFmtId="0" fontId="1" fillId="2" borderId="65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/>
    </xf>
    <xf numFmtId="0" fontId="1" fillId="2" borderId="67" xfId="0" applyFont="1" applyFill="1" applyBorder="1" applyAlignment="1">
      <alignment horizontal="center" vertical="center"/>
    </xf>
    <xf numFmtId="0" fontId="1" fillId="8" borderId="73" xfId="0" applyFont="1" applyFill="1" applyBorder="1" applyAlignment="1">
      <alignment horizontal="center" vertical="center"/>
    </xf>
    <xf numFmtId="0" fontId="1" fillId="8" borderId="42" xfId="0" applyFont="1" applyFill="1" applyBorder="1" applyAlignment="1">
      <alignment horizontal="center" vertical="center"/>
    </xf>
    <xf numFmtId="0" fontId="1" fillId="8" borderId="74" xfId="0" applyFont="1" applyFill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9" fontId="0" fillId="3" borderId="21" xfId="0" applyNumberFormat="1" applyFont="1" applyFill="1" applyBorder="1" applyAlignment="1">
      <alignment horizontal="center" vertical="center"/>
    </xf>
    <xf numFmtId="0" fontId="1" fillId="9" borderId="24" xfId="0" applyFont="1" applyFill="1" applyBorder="1" applyAlignment="1">
      <alignment horizontal="center" vertical="center"/>
    </xf>
    <xf numFmtId="0" fontId="1" fillId="9" borderId="25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24" xfId="0" applyFont="1" applyFill="1" applyBorder="1" applyAlignment="1">
      <alignment horizontal="right" vertical="center"/>
    </xf>
    <xf numFmtId="0" fontId="1" fillId="9" borderId="25" xfId="0" applyFont="1" applyFill="1" applyBorder="1" applyAlignment="1">
      <alignment horizontal="right" vertical="center"/>
    </xf>
    <xf numFmtId="0" fontId="6" fillId="5" borderId="24" xfId="0" applyFont="1" applyFill="1" applyBorder="1" applyAlignment="1">
      <alignment horizontal="right" vertical="center"/>
    </xf>
    <xf numFmtId="0" fontId="6" fillId="5" borderId="25" xfId="0" applyFont="1" applyFill="1" applyBorder="1" applyAlignment="1">
      <alignment horizontal="right" vertical="center"/>
    </xf>
    <xf numFmtId="0" fontId="6" fillId="5" borderId="26" xfId="0" applyFont="1" applyFill="1" applyBorder="1" applyAlignment="1">
      <alignment horizontal="right" vertical="center"/>
    </xf>
    <xf numFmtId="0" fontId="0" fillId="0" borderId="2" xfId="2" applyNumberFormat="1" applyFont="1" applyBorder="1" applyAlignment="1">
      <alignment horizontal="center" vertical="center"/>
    </xf>
    <xf numFmtId="0" fontId="0" fillId="0" borderId="4" xfId="2" applyNumberFormat="1" applyFont="1" applyBorder="1" applyAlignment="1">
      <alignment horizontal="center" vertical="center"/>
    </xf>
    <xf numFmtId="0" fontId="0" fillId="0" borderId="3" xfId="2" applyNumberFormat="1" applyFont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164" fontId="0" fillId="9" borderId="24" xfId="1" applyFont="1" applyFill="1" applyBorder="1" applyAlignment="1">
      <alignment horizontal="center" vertical="center"/>
    </xf>
    <xf numFmtId="164" fontId="0" fillId="9" borderId="25" xfId="1" applyFont="1" applyFill="1" applyBorder="1" applyAlignment="1">
      <alignment horizontal="center" vertical="center"/>
    </xf>
    <xf numFmtId="164" fontId="0" fillId="9" borderId="26" xfId="1" applyFont="1" applyFill="1" applyBorder="1" applyAlignment="1">
      <alignment horizontal="center" vertical="center"/>
    </xf>
    <xf numFmtId="164" fontId="0" fillId="9" borderId="6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right" vertical="center"/>
    </xf>
    <xf numFmtId="165" fontId="1" fillId="2" borderId="4" xfId="0" applyNumberFormat="1" applyFont="1" applyFill="1" applyBorder="1" applyAlignment="1">
      <alignment horizontal="right" vertical="center"/>
    </xf>
    <xf numFmtId="165" fontId="1" fillId="2" borderId="3" xfId="0" applyNumberFormat="1" applyFont="1" applyFill="1" applyBorder="1" applyAlignment="1">
      <alignment horizontal="right" vertical="center"/>
    </xf>
    <xf numFmtId="164" fontId="0" fillId="2" borderId="1" xfId="1" applyFont="1" applyFill="1" applyBorder="1" applyAlignment="1">
      <alignment horizontal="center" vertical="center"/>
    </xf>
    <xf numFmtId="0" fontId="1" fillId="2" borderId="78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/>
    </xf>
    <xf numFmtId="0" fontId="1" fillId="2" borderId="80" xfId="0" applyFont="1" applyFill="1" applyBorder="1" applyAlignment="1">
      <alignment horizontal="center" vertical="center"/>
    </xf>
    <xf numFmtId="165" fontId="1" fillId="2" borderId="78" xfId="0" applyNumberFormat="1" applyFont="1" applyFill="1" applyBorder="1" applyAlignment="1">
      <alignment horizontal="right" vertical="center"/>
    </xf>
    <xf numFmtId="165" fontId="1" fillId="2" borderId="79" xfId="0" applyNumberFormat="1" applyFont="1" applyFill="1" applyBorder="1" applyAlignment="1">
      <alignment horizontal="right" vertical="center"/>
    </xf>
    <xf numFmtId="165" fontId="1" fillId="2" borderId="80" xfId="0" applyNumberFormat="1" applyFont="1" applyFill="1" applyBorder="1" applyAlignment="1">
      <alignment horizontal="right" vertical="center"/>
    </xf>
    <xf numFmtId="164" fontId="0" fillId="2" borderId="78" xfId="1" applyFont="1" applyFill="1" applyBorder="1" applyAlignment="1">
      <alignment horizontal="center" vertical="center"/>
    </xf>
    <xf numFmtId="164" fontId="0" fillId="2" borderId="79" xfId="1" applyFont="1" applyFill="1" applyBorder="1" applyAlignment="1">
      <alignment horizontal="center" vertical="center"/>
    </xf>
    <xf numFmtId="164" fontId="0" fillId="2" borderId="80" xfId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165" fontId="0" fillId="0" borderId="1" xfId="2" applyNumberFormat="1" applyFont="1" applyBorder="1" applyAlignment="1">
      <alignment horizontal="right" vertical="center"/>
    </xf>
    <xf numFmtId="0" fontId="0" fillId="0" borderId="21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8" borderId="72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1" fillId="8" borderId="16" xfId="0" applyFont="1" applyFill="1" applyBorder="1" applyAlignment="1">
      <alignment horizontal="left" vertical="center" wrapText="1"/>
    </xf>
    <xf numFmtId="0" fontId="6" fillId="19" borderId="24" xfId="0" applyFont="1" applyFill="1" applyBorder="1" applyAlignment="1">
      <alignment horizontal="center" vertical="center"/>
    </xf>
    <xf numFmtId="0" fontId="6" fillId="19" borderId="25" xfId="0" applyFont="1" applyFill="1" applyBorder="1" applyAlignment="1">
      <alignment horizontal="center" vertical="center"/>
    </xf>
    <xf numFmtId="0" fontId="6" fillId="19" borderId="26" xfId="0" applyFont="1" applyFill="1" applyBorder="1" applyAlignment="1">
      <alignment horizontal="center" vertical="center"/>
    </xf>
    <xf numFmtId="164" fontId="0" fillId="9" borderId="2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5" fontId="0" fillId="0" borderId="2" xfId="2" applyNumberFormat="1" applyFont="1" applyBorder="1" applyAlignment="1">
      <alignment horizontal="center" vertical="center"/>
    </xf>
    <xf numFmtId="165" fontId="0" fillId="0" borderId="4" xfId="2" applyNumberFormat="1" applyFont="1" applyBorder="1" applyAlignment="1">
      <alignment horizontal="center" vertical="center"/>
    </xf>
    <xf numFmtId="165" fontId="0" fillId="0" borderId="3" xfId="2" applyNumberFormat="1" applyFont="1" applyBorder="1" applyAlignment="1">
      <alignment horizontal="center" vertical="center"/>
    </xf>
    <xf numFmtId="164" fontId="0" fillId="9" borderId="3" xfId="0" applyNumberFormat="1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164" fontId="0" fillId="2" borderId="65" xfId="1" applyFont="1" applyFill="1" applyBorder="1" applyAlignment="1">
      <alignment horizontal="center" vertical="center"/>
    </xf>
    <xf numFmtId="164" fontId="0" fillId="2" borderId="66" xfId="1" applyFont="1" applyFill="1" applyBorder="1" applyAlignment="1">
      <alignment horizontal="center" vertical="center"/>
    </xf>
    <xf numFmtId="164" fontId="0" fillId="2" borderId="67" xfId="1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/>
    </xf>
    <xf numFmtId="0" fontId="6" fillId="5" borderId="26" xfId="0" applyFont="1" applyFill="1" applyBorder="1" applyAlignment="1">
      <alignment horizontal="center"/>
    </xf>
    <xf numFmtId="164" fontId="1" fillId="18" borderId="24" xfId="1" applyFont="1" applyFill="1" applyBorder="1" applyAlignment="1">
      <alignment horizontal="center"/>
    </xf>
    <xf numFmtId="164" fontId="1" fillId="18" borderId="25" xfId="1" applyFont="1" applyFill="1" applyBorder="1" applyAlignment="1">
      <alignment horizontal="center"/>
    </xf>
    <xf numFmtId="164" fontId="1" fillId="18" borderId="26" xfId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16" xfId="0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4" fontId="0" fillId="0" borderId="14" xfId="1" applyFont="1" applyBorder="1" applyAlignment="1">
      <alignment horizontal="center"/>
    </xf>
    <xf numFmtId="0" fontId="1" fillId="9" borderId="24" xfId="0" applyFont="1" applyFill="1" applyBorder="1" applyAlignment="1">
      <alignment horizontal="center"/>
    </xf>
    <xf numFmtId="0" fontId="1" fillId="9" borderId="25" xfId="0" applyFont="1" applyFill="1" applyBorder="1" applyAlignment="1">
      <alignment horizontal="center"/>
    </xf>
    <xf numFmtId="0" fontId="1" fillId="9" borderId="26" xfId="0" applyFont="1" applyFill="1" applyBorder="1" applyAlignment="1">
      <alignment horizontal="center"/>
    </xf>
    <xf numFmtId="164" fontId="0" fillId="9" borderId="65" xfId="1" applyFont="1" applyFill="1" applyBorder="1" applyAlignment="1">
      <alignment horizontal="center"/>
    </xf>
    <xf numFmtId="164" fontId="0" fillId="9" borderId="66" xfId="1" applyFont="1" applyFill="1" applyBorder="1" applyAlignment="1">
      <alignment horizontal="center"/>
    </xf>
    <xf numFmtId="164" fontId="0" fillId="9" borderId="67" xfId="1" applyFont="1" applyFill="1" applyBorder="1" applyAlignment="1">
      <alignment horizontal="center"/>
    </xf>
    <xf numFmtId="9" fontId="0" fillId="3" borderId="2" xfId="0" applyNumberFormat="1" applyFont="1" applyFill="1" applyBorder="1" applyAlignment="1">
      <alignment horizontal="center"/>
    </xf>
    <xf numFmtId="0" fontId="1" fillId="9" borderId="65" xfId="0" applyFont="1" applyFill="1" applyBorder="1" applyAlignment="1">
      <alignment horizontal="center"/>
    </xf>
    <xf numFmtId="0" fontId="1" fillId="9" borderId="66" xfId="0" applyFont="1" applyFill="1" applyBorder="1" applyAlignment="1">
      <alignment horizontal="center"/>
    </xf>
    <xf numFmtId="0" fontId="1" fillId="9" borderId="67" xfId="0" applyFont="1" applyFill="1" applyBorder="1" applyAlignment="1">
      <alignment horizontal="center"/>
    </xf>
    <xf numFmtId="164" fontId="0" fillId="9" borderId="65" xfId="0" applyNumberFormat="1" applyFont="1" applyFill="1" applyBorder="1" applyAlignment="1">
      <alignment horizontal="center"/>
    </xf>
    <xf numFmtId="0" fontId="0" fillId="9" borderId="66" xfId="0" applyFont="1" applyFill="1" applyBorder="1" applyAlignment="1">
      <alignment horizontal="center"/>
    </xf>
    <xf numFmtId="0" fontId="0" fillId="9" borderId="6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72" xfId="0" applyNumberFormat="1" applyFont="1" applyFill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4" fontId="0" fillId="2" borderId="14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4" fontId="0" fillId="2" borderId="1" xfId="1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5" fontId="0" fillId="0" borderId="72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4" fontId="0" fillId="0" borderId="72" xfId="1" applyFont="1" applyBorder="1" applyAlignment="1">
      <alignment horizontal="center"/>
    </xf>
    <xf numFmtId="164" fontId="0" fillId="0" borderId="5" xfId="1" applyFont="1" applyBorder="1" applyAlignment="1">
      <alignment horizontal="center"/>
    </xf>
    <xf numFmtId="164" fontId="0" fillId="0" borderId="16" xfId="1" applyFont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1" fillId="2" borderId="7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165" fontId="0" fillId="0" borderId="1" xfId="2" applyNumberFormat="1" applyFont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5" fontId="0" fillId="0" borderId="2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165" fontId="0" fillId="0" borderId="1" xfId="0" applyNumberForma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3" fillId="2" borderId="1" xfId="1" applyFont="1" applyFill="1" applyBorder="1" applyAlignment="1">
      <alignment horizontal="center"/>
    </xf>
    <xf numFmtId="0" fontId="0" fillId="0" borderId="4" xfId="0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center" vertical="center"/>
    </xf>
    <xf numFmtId="165" fontId="0" fillId="0" borderId="4" xfId="0" applyNumberFormat="1" applyFill="1" applyBorder="1" applyAlignment="1">
      <alignment horizontal="center" vertical="center"/>
    </xf>
    <xf numFmtId="165" fontId="0" fillId="0" borderId="3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165" fontId="0" fillId="0" borderId="2" xfId="2" applyNumberFormat="1" applyFont="1" applyFill="1" applyBorder="1" applyAlignment="1">
      <alignment horizontal="center"/>
    </xf>
    <xf numFmtId="165" fontId="0" fillId="0" borderId="4" xfId="2" applyNumberFormat="1" applyFont="1" applyFill="1" applyBorder="1" applyAlignment="1">
      <alignment horizontal="center"/>
    </xf>
    <xf numFmtId="165" fontId="0" fillId="0" borderId="3" xfId="2" applyNumberFormat="1" applyFont="1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0" fillId="0" borderId="4" xfId="0" applyNumberFormat="1" applyFill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" fontId="0" fillId="0" borderId="2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0" borderId="3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1" fillId="8" borderId="72" xfId="0" applyFont="1" applyFill="1" applyBorder="1" applyAlignment="1">
      <alignment horizontal="left" wrapText="1"/>
    </xf>
    <xf numFmtId="0" fontId="1" fillId="8" borderId="5" xfId="0" applyFont="1" applyFill="1" applyBorder="1" applyAlignment="1">
      <alignment horizontal="left" wrapText="1"/>
    </xf>
    <xf numFmtId="0" fontId="1" fillId="8" borderId="16" xfId="0" applyFont="1" applyFill="1" applyBorder="1" applyAlignment="1">
      <alignment horizontal="left" wrapText="1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4" fontId="0" fillId="12" borderId="1" xfId="1" applyFont="1" applyFill="1" applyBorder="1" applyAlignment="1">
      <alignment horizontal="center" vertical="center"/>
    </xf>
    <xf numFmtId="0" fontId="1" fillId="8" borderId="22" xfId="0" applyFont="1" applyFill="1" applyBorder="1" applyAlignment="1">
      <alignment horizontal="left" vertical="center" wrapText="1"/>
    </xf>
    <xf numFmtId="0" fontId="1" fillId="8" borderId="23" xfId="0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9" borderId="24" xfId="0" applyFont="1" applyFill="1" applyBorder="1" applyAlignment="1">
      <alignment horizontal="center" vertical="center"/>
    </xf>
    <xf numFmtId="0" fontId="6" fillId="9" borderId="25" xfId="0" applyFont="1" applyFill="1" applyBorder="1" applyAlignment="1">
      <alignment horizontal="center" vertical="center"/>
    </xf>
    <xf numFmtId="0" fontId="6" fillId="9" borderId="26" xfId="0" applyFont="1" applyFill="1" applyBorder="1" applyAlignment="1">
      <alignment horizontal="center" vertical="center"/>
    </xf>
    <xf numFmtId="164" fontId="1" fillId="18" borderId="65" xfId="1" applyFont="1" applyFill="1" applyBorder="1" applyAlignment="1">
      <alignment horizontal="center" vertical="center"/>
    </xf>
    <xf numFmtId="164" fontId="1" fillId="18" borderId="66" xfId="1" applyFont="1" applyFill="1" applyBorder="1" applyAlignment="1">
      <alignment horizontal="center" vertical="center"/>
    </xf>
    <xf numFmtId="164" fontId="1" fillId="18" borderId="67" xfId="1" applyFont="1" applyFill="1" applyBorder="1" applyAlignment="1">
      <alignment horizontal="center" vertical="center"/>
    </xf>
    <xf numFmtId="0" fontId="1" fillId="9" borderId="8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65" fontId="0" fillId="0" borderId="2" xfId="2" applyNumberFormat="1" applyFont="1" applyFill="1" applyBorder="1" applyAlignment="1">
      <alignment horizontal="center" vertical="center"/>
    </xf>
    <xf numFmtId="165" fontId="0" fillId="0" borderId="4" xfId="2" applyNumberFormat="1" applyFont="1" applyFill="1" applyBorder="1" applyAlignment="1">
      <alignment horizontal="center" vertical="center"/>
    </xf>
    <xf numFmtId="165" fontId="0" fillId="0" borderId="3" xfId="2" applyNumberFormat="1" applyFont="1" applyFill="1" applyBorder="1" applyAlignment="1">
      <alignment horizontal="center" vertical="center"/>
    </xf>
    <xf numFmtId="165" fontId="1" fillId="9" borderId="24" xfId="0" applyNumberFormat="1" applyFont="1" applyFill="1" applyBorder="1" applyAlignment="1">
      <alignment horizontal="right" vertical="center"/>
    </xf>
    <xf numFmtId="165" fontId="1" fillId="9" borderId="25" xfId="0" applyNumberFormat="1" applyFont="1" applyFill="1" applyBorder="1" applyAlignment="1">
      <alignment horizontal="right" vertical="center"/>
    </xf>
    <xf numFmtId="165" fontId="1" fillId="9" borderId="26" xfId="0" applyNumberFormat="1" applyFont="1" applyFill="1" applyBorder="1" applyAlignment="1">
      <alignment horizontal="right" vertical="center"/>
    </xf>
    <xf numFmtId="0" fontId="1" fillId="5" borderId="81" xfId="0" applyFont="1" applyFill="1" applyBorder="1" applyAlignment="1">
      <alignment horizontal="center" vertical="center"/>
    </xf>
    <xf numFmtId="164" fontId="0" fillId="5" borderId="65" xfId="1" applyFont="1" applyFill="1" applyBorder="1" applyAlignment="1">
      <alignment horizontal="center" vertical="center"/>
    </xf>
    <xf numFmtId="164" fontId="0" fillId="5" borderId="66" xfId="1" applyFont="1" applyFill="1" applyBorder="1" applyAlignment="1">
      <alignment horizontal="center" vertical="center"/>
    </xf>
    <xf numFmtId="164" fontId="0" fillId="5" borderId="67" xfId="1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26" xfId="0" applyFont="1" applyFill="1" applyBorder="1" applyAlignment="1">
      <alignment horizontal="center" vertical="center" wrapText="1"/>
    </xf>
    <xf numFmtId="2" fontId="0" fillId="0" borderId="14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4" fontId="0" fillId="0" borderId="4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2" fontId="0" fillId="0" borderId="14" xfId="0" applyNumberFormat="1" applyBorder="1" applyAlignment="1">
      <alignment horizontal="right"/>
    </xf>
    <xf numFmtId="0" fontId="1" fillId="9" borderId="81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65" fontId="0" fillId="2" borderId="2" xfId="0" applyNumberFormat="1" applyFill="1" applyBorder="1" applyAlignment="1">
      <alignment horizontal="center" vertical="center"/>
    </xf>
    <xf numFmtId="165" fontId="0" fillId="2" borderId="4" xfId="0" applyNumberFormat="1" applyFill="1" applyBorder="1" applyAlignment="1">
      <alignment horizontal="center" vertical="center"/>
    </xf>
    <xf numFmtId="165" fontId="0" fillId="2" borderId="3" xfId="0" applyNumberFormat="1" applyFill="1" applyBorder="1" applyAlignment="1">
      <alignment horizontal="center" vertical="center"/>
    </xf>
    <xf numFmtId="164" fontId="0" fillId="2" borderId="2" xfId="1" applyFont="1" applyFill="1" applyBorder="1" applyAlignment="1">
      <alignment horizontal="center" vertical="center"/>
    </xf>
    <xf numFmtId="164" fontId="0" fillId="2" borderId="4" xfId="1" applyFont="1" applyFill="1" applyBorder="1" applyAlignment="1">
      <alignment horizontal="center" vertical="center"/>
    </xf>
    <xf numFmtId="164" fontId="0" fillId="2" borderId="3" xfId="1" applyFont="1" applyFill="1" applyBorder="1" applyAlignment="1">
      <alignment horizontal="center" vertical="center"/>
    </xf>
    <xf numFmtId="0" fontId="0" fillId="0" borderId="72" xfId="0" applyFill="1" applyBorder="1" applyAlignment="1">
      <alignment horizontal="center" wrapText="1"/>
    </xf>
    <xf numFmtId="0" fontId="0" fillId="0" borderId="16" xfId="0" applyFill="1" applyBorder="1" applyAlignment="1">
      <alignment horizontal="center" wrapText="1"/>
    </xf>
    <xf numFmtId="164" fontId="1" fillId="18" borderId="65" xfId="1" applyFont="1" applyFill="1" applyBorder="1" applyAlignment="1">
      <alignment horizontal="center"/>
    </xf>
    <xf numFmtId="164" fontId="1" fillId="18" borderId="66" xfId="1" applyFont="1" applyFill="1" applyBorder="1" applyAlignment="1">
      <alignment horizontal="center"/>
    </xf>
    <xf numFmtId="164" fontId="1" fillId="18" borderId="67" xfId="1" applyFont="1" applyFill="1" applyBorder="1" applyAlignment="1">
      <alignment horizontal="center"/>
    </xf>
    <xf numFmtId="164" fontId="0" fillId="9" borderId="77" xfId="1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164" fontId="3" fillId="9" borderId="1" xfId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5" fontId="1" fillId="9" borderId="2" xfId="0" applyNumberFormat="1" applyFont="1" applyFill="1" applyBorder="1" applyAlignment="1">
      <alignment horizontal="right" vertical="center"/>
    </xf>
    <xf numFmtId="165" fontId="1" fillId="9" borderId="4" xfId="0" applyNumberFormat="1" applyFont="1" applyFill="1" applyBorder="1" applyAlignment="1">
      <alignment horizontal="right" vertical="center"/>
    </xf>
    <xf numFmtId="165" fontId="1" fillId="9" borderId="3" xfId="0" applyNumberFormat="1" applyFont="1" applyFill="1" applyBorder="1" applyAlignment="1">
      <alignment horizontal="right" vertical="center"/>
    </xf>
    <xf numFmtId="164" fontId="0" fillId="9" borderId="1" xfId="1" applyFont="1" applyFill="1" applyBorder="1" applyAlignment="1">
      <alignment horizontal="center" vertical="center"/>
    </xf>
    <xf numFmtId="0" fontId="1" fillId="9" borderId="72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164" fontId="0" fillId="9" borderId="14" xfId="1" applyFont="1" applyFill="1" applyBorder="1" applyAlignment="1">
      <alignment horizontal="center" vertical="center"/>
    </xf>
    <xf numFmtId="167" fontId="0" fillId="0" borderId="1" xfId="0" applyNumberFormat="1" applyBorder="1" applyAlignment="1">
      <alignment horizontal="right"/>
    </xf>
    <xf numFmtId="167" fontId="0" fillId="0" borderId="14" xfId="0" applyNumberFormat="1" applyBorder="1" applyAlignment="1">
      <alignment horizontal="right"/>
    </xf>
    <xf numFmtId="167" fontId="0" fillId="0" borderId="2" xfId="0" applyNumberFormat="1" applyBorder="1" applyAlignment="1">
      <alignment horizontal="right"/>
    </xf>
    <xf numFmtId="167" fontId="0" fillId="0" borderId="4" xfId="0" applyNumberFormat="1" applyBorder="1" applyAlignment="1">
      <alignment horizontal="right"/>
    </xf>
    <xf numFmtId="167" fontId="0" fillId="0" borderId="3" xfId="0" applyNumberFormat="1" applyBorder="1" applyAlignment="1">
      <alignment horizontal="right"/>
    </xf>
    <xf numFmtId="0" fontId="1" fillId="8" borderId="72" xfId="0" applyFont="1" applyFill="1" applyBorder="1" applyAlignment="1">
      <alignment vertical="center" wrapText="1"/>
    </xf>
    <xf numFmtId="0" fontId="1" fillId="8" borderId="5" xfId="0" applyFont="1" applyFill="1" applyBorder="1" applyAlignment="1">
      <alignment vertical="center" wrapText="1"/>
    </xf>
    <xf numFmtId="0" fontId="1" fillId="8" borderId="16" xfId="0" applyFont="1" applyFill="1" applyBorder="1" applyAlignment="1">
      <alignment vertical="center" wrapText="1"/>
    </xf>
    <xf numFmtId="165" fontId="0" fillId="0" borderId="2" xfId="2" applyNumberFormat="1" applyFont="1" applyBorder="1" applyAlignment="1">
      <alignment horizontal="right"/>
    </xf>
    <xf numFmtId="165" fontId="0" fillId="0" borderId="4" xfId="2" applyNumberFormat="1" applyFont="1" applyBorder="1" applyAlignment="1">
      <alignment horizontal="right"/>
    </xf>
    <xf numFmtId="165" fontId="0" fillId="0" borderId="3" xfId="2" applyNumberFormat="1" applyFont="1" applyBorder="1" applyAlignment="1">
      <alignment horizontal="right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/>
    </xf>
    <xf numFmtId="44" fontId="0" fillId="0" borderId="14" xfId="0" applyNumberFormat="1" applyBorder="1" applyAlignment="1">
      <alignment horizontal="center"/>
    </xf>
    <xf numFmtId="44" fontId="0" fillId="0" borderId="2" xfId="0" applyNumberFormat="1" applyBorder="1" applyAlignment="1">
      <alignment horizontal="center"/>
    </xf>
    <xf numFmtId="44" fontId="0" fillId="0" borderId="4" xfId="0" applyNumberFormat="1" applyBorder="1" applyAlignment="1">
      <alignment horizontal="center"/>
    </xf>
    <xf numFmtId="44" fontId="0" fillId="0" borderId="3" xfId="0" applyNumberFormat="1" applyBorder="1" applyAlignment="1">
      <alignment horizontal="center"/>
    </xf>
    <xf numFmtId="0" fontId="1" fillId="5" borderId="65" xfId="0" applyFont="1" applyFill="1" applyBorder="1" applyAlignment="1">
      <alignment horizontal="center"/>
    </xf>
    <xf numFmtId="0" fontId="1" fillId="5" borderId="66" xfId="0" applyFont="1" applyFill="1" applyBorder="1" applyAlignment="1">
      <alignment horizontal="center"/>
    </xf>
    <xf numFmtId="0" fontId="1" fillId="5" borderId="81" xfId="0" applyFont="1" applyFill="1" applyBorder="1" applyAlignment="1">
      <alignment horizontal="center"/>
    </xf>
    <xf numFmtId="164" fontId="0" fillId="5" borderId="65" xfId="0" applyNumberFormat="1" applyFont="1" applyFill="1" applyBorder="1" applyAlignment="1">
      <alignment horizontal="center"/>
    </xf>
    <xf numFmtId="0" fontId="0" fillId="5" borderId="66" xfId="0" applyFont="1" applyFill="1" applyBorder="1" applyAlignment="1">
      <alignment horizontal="center"/>
    </xf>
    <xf numFmtId="0" fontId="0" fillId="5" borderId="67" xfId="0" applyFont="1" applyFill="1" applyBorder="1" applyAlignment="1">
      <alignment horizontal="center"/>
    </xf>
    <xf numFmtId="164" fontId="0" fillId="5" borderId="65" xfId="1" applyFont="1" applyFill="1" applyBorder="1" applyAlignment="1">
      <alignment horizontal="center"/>
    </xf>
    <xf numFmtId="164" fontId="0" fillId="5" borderId="66" xfId="1" applyFont="1" applyFill="1" applyBorder="1" applyAlignment="1">
      <alignment horizontal="center"/>
    </xf>
    <xf numFmtId="164" fontId="0" fillId="5" borderId="67" xfId="1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14" borderId="2" xfId="0" applyFont="1" applyFill="1" applyBorder="1" applyAlignment="1">
      <alignment horizontal="center"/>
    </xf>
    <xf numFmtId="0" fontId="1" fillId="14" borderId="4" xfId="0" applyFont="1" applyFill="1" applyBorder="1" applyAlignment="1">
      <alignment horizontal="center"/>
    </xf>
    <xf numFmtId="0" fontId="1" fillId="14" borderId="3" xfId="0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20" borderId="2" xfId="0" applyFont="1" applyFill="1" applyBorder="1" applyAlignment="1">
      <alignment horizontal="left" wrapText="1"/>
    </xf>
    <xf numFmtId="0" fontId="1" fillId="20" borderId="4" xfId="0" applyFont="1" applyFill="1" applyBorder="1" applyAlignment="1">
      <alignment horizontal="left" wrapText="1"/>
    </xf>
    <xf numFmtId="0" fontId="1" fillId="20" borderId="3" xfId="0" applyFont="1" applyFill="1" applyBorder="1" applyAlignment="1">
      <alignment horizontal="left" wrapText="1"/>
    </xf>
    <xf numFmtId="4" fontId="0" fillId="0" borderId="2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0" fontId="0" fillId="20" borderId="2" xfId="0" applyFill="1" applyBorder="1" applyAlignment="1">
      <alignment horizontal="center"/>
    </xf>
    <xf numFmtId="0" fontId="0" fillId="20" borderId="3" xfId="0" applyFill="1" applyBorder="1" applyAlignment="1">
      <alignment horizontal="center"/>
    </xf>
    <xf numFmtId="0" fontId="1" fillId="17" borderId="2" xfId="0" applyFont="1" applyFill="1" applyBorder="1" applyAlignment="1">
      <alignment horizontal="center" wrapText="1"/>
    </xf>
    <xf numFmtId="0" fontId="1" fillId="17" borderId="4" xfId="0" applyFont="1" applyFill="1" applyBorder="1" applyAlignment="1">
      <alignment horizontal="center" wrapText="1"/>
    </xf>
    <xf numFmtId="0" fontId="1" fillId="17" borderId="3" xfId="0" applyFont="1" applyFill="1" applyBorder="1" applyAlignment="1">
      <alignment horizontal="center" wrapText="1"/>
    </xf>
    <xf numFmtId="0" fontId="1" fillId="12" borderId="2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0" fillId="8" borderId="8" xfId="0" applyFont="1" applyFill="1" applyBorder="1" applyAlignment="1">
      <alignment horizontal="left" vertical="center" wrapText="1"/>
    </xf>
    <xf numFmtId="0" fontId="1" fillId="8" borderId="8" xfId="0" applyFont="1" applyFill="1" applyBorder="1" applyAlignment="1">
      <alignment horizontal="left" vertical="center" wrapText="1"/>
    </xf>
    <xf numFmtId="164" fontId="0" fillId="8" borderId="8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5" borderId="24" xfId="0" applyNumberFormat="1" applyFont="1" applyFill="1" applyBorder="1" applyAlignment="1">
      <alignment horizontal="center" vertical="center"/>
    </xf>
    <xf numFmtId="164" fontId="0" fillId="5" borderId="25" xfId="0" applyNumberFormat="1" applyFont="1" applyFill="1" applyBorder="1" applyAlignment="1">
      <alignment horizontal="center" vertical="center"/>
    </xf>
    <xf numFmtId="164" fontId="0" fillId="5" borderId="26" xfId="0" applyNumberFormat="1" applyFont="1" applyFill="1" applyBorder="1" applyAlignment="1">
      <alignment horizontal="center" vertical="center"/>
    </xf>
    <xf numFmtId="0" fontId="0" fillId="22" borderId="72" xfId="0" applyFill="1" applyBorder="1" applyAlignment="1">
      <alignment horizontal="center" vertical="center" wrapText="1"/>
    </xf>
    <xf numFmtId="0" fontId="0" fillId="22" borderId="16" xfId="0" applyFill="1" applyBorder="1" applyAlignment="1">
      <alignment horizontal="center" vertical="center" wrapText="1"/>
    </xf>
    <xf numFmtId="165" fontId="0" fillId="0" borderId="72" xfId="0" applyNumberFormat="1" applyBorder="1" applyAlignment="1">
      <alignment horizontal="right" vertical="center"/>
    </xf>
    <xf numFmtId="165" fontId="0" fillId="0" borderId="5" xfId="0" applyNumberFormat="1" applyBorder="1" applyAlignment="1">
      <alignment horizontal="right" vertical="center"/>
    </xf>
    <xf numFmtId="165" fontId="0" fillId="0" borderId="16" xfId="0" applyNumberFormat="1" applyBorder="1" applyAlignment="1">
      <alignment horizontal="right" vertical="center"/>
    </xf>
    <xf numFmtId="0" fontId="0" fillId="3" borderId="2" xfId="0" applyFont="1" applyFill="1" applyBorder="1" applyAlignment="1">
      <alignment horizontal="right" vertical="center"/>
    </xf>
    <xf numFmtId="0" fontId="0" fillId="3" borderId="4" xfId="0" applyFont="1" applyFill="1" applyBorder="1" applyAlignment="1">
      <alignment horizontal="right" vertical="center"/>
    </xf>
    <xf numFmtId="0" fontId="0" fillId="3" borderId="3" xfId="0" applyFont="1" applyFill="1" applyBorder="1" applyAlignment="1">
      <alignment horizontal="right" vertical="center"/>
    </xf>
    <xf numFmtId="165" fontId="0" fillId="0" borderId="14" xfId="0" applyNumberFormat="1" applyBorder="1" applyAlignment="1">
      <alignment horizontal="right" vertical="center"/>
    </xf>
    <xf numFmtId="9" fontId="0" fillId="3" borderId="2" xfId="0" applyNumberFormat="1" applyFont="1" applyFill="1" applyBorder="1" applyAlignment="1">
      <alignment horizontal="right" vertical="center"/>
    </xf>
    <xf numFmtId="164" fontId="1" fillId="18" borderId="77" xfId="1" applyFont="1" applyFill="1" applyBorder="1" applyAlignment="1">
      <alignment horizontal="center" vertical="center"/>
    </xf>
    <xf numFmtId="0" fontId="0" fillId="0" borderId="2" xfId="2" applyNumberFormat="1" applyFont="1" applyBorder="1" applyAlignment="1">
      <alignment horizontal="right" vertical="center"/>
    </xf>
    <xf numFmtId="0" fontId="0" fillId="0" borderId="4" xfId="2" applyNumberFormat="1" applyFont="1" applyBorder="1" applyAlignment="1">
      <alignment horizontal="right" vertical="center"/>
    </xf>
    <xf numFmtId="0" fontId="0" fillId="0" borderId="3" xfId="2" applyNumberFormat="1" applyFont="1" applyBorder="1" applyAlignment="1">
      <alignment horizontal="right" vertical="center"/>
    </xf>
    <xf numFmtId="167" fontId="0" fillId="0" borderId="1" xfId="0" applyNumberFormat="1" applyBorder="1" applyAlignment="1">
      <alignment horizontal="right" vertical="center"/>
    </xf>
    <xf numFmtId="167" fontId="0" fillId="0" borderId="14" xfId="0" applyNumberFormat="1" applyBorder="1" applyAlignment="1">
      <alignment horizontal="right" vertical="center"/>
    </xf>
    <xf numFmtId="167" fontId="0" fillId="0" borderId="2" xfId="0" applyNumberFormat="1" applyBorder="1" applyAlignment="1">
      <alignment horizontal="right" vertical="center"/>
    </xf>
    <xf numFmtId="167" fontId="0" fillId="0" borderId="4" xfId="0" applyNumberFormat="1" applyBorder="1" applyAlignment="1">
      <alignment horizontal="right" vertical="center"/>
    </xf>
    <xf numFmtId="167" fontId="0" fillId="0" borderId="3" xfId="0" applyNumberFormat="1" applyBorder="1" applyAlignment="1">
      <alignment horizontal="right" vertical="center"/>
    </xf>
    <xf numFmtId="0" fontId="1" fillId="2" borderId="81" xfId="0" applyFont="1" applyFill="1" applyBorder="1" applyAlignment="1">
      <alignment horizontal="center" vertical="center"/>
    </xf>
    <xf numFmtId="164" fontId="0" fillId="2" borderId="65" xfId="0" applyNumberFormat="1" applyFont="1" applyFill="1" applyBorder="1" applyAlignment="1">
      <alignment horizontal="center" vertical="center"/>
    </xf>
    <xf numFmtId="0" fontId="0" fillId="2" borderId="66" xfId="0" applyFont="1" applyFill="1" applyBorder="1" applyAlignment="1">
      <alignment horizontal="center" vertical="center"/>
    </xf>
    <xf numFmtId="0" fontId="0" fillId="2" borderId="67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164" fontId="0" fillId="18" borderId="65" xfId="1" applyFont="1" applyFill="1" applyBorder="1" applyAlignment="1">
      <alignment horizontal="center" vertical="center"/>
    </xf>
    <xf numFmtId="164" fontId="0" fillId="18" borderId="66" xfId="1" applyFont="1" applyFill="1" applyBorder="1" applyAlignment="1">
      <alignment horizontal="center" vertical="center"/>
    </xf>
    <xf numFmtId="164" fontId="0" fillId="18" borderId="67" xfId="1" applyFont="1" applyFill="1" applyBorder="1" applyAlignment="1">
      <alignment horizontal="center" vertical="center"/>
    </xf>
    <xf numFmtId="164" fontId="6" fillId="18" borderId="66" xfId="1" applyFont="1" applyFill="1" applyBorder="1" applyAlignment="1">
      <alignment horizontal="center" vertical="center"/>
    </xf>
    <xf numFmtId="164" fontId="6" fillId="18" borderId="67" xfId="1" applyFont="1" applyFill="1" applyBorder="1" applyAlignment="1">
      <alignment horizontal="center" vertical="center"/>
    </xf>
    <xf numFmtId="165" fontId="1" fillId="2" borderId="72" xfId="0" applyNumberFormat="1" applyFont="1" applyFill="1" applyBorder="1" applyAlignment="1">
      <alignment horizontal="right" vertical="center" wrapText="1"/>
    </xf>
    <xf numFmtId="165" fontId="1" fillId="2" borderId="5" xfId="0" applyNumberFormat="1" applyFont="1" applyFill="1" applyBorder="1" applyAlignment="1">
      <alignment horizontal="right" vertical="center" wrapText="1"/>
    </xf>
    <xf numFmtId="165" fontId="1" fillId="2" borderId="16" xfId="0" applyNumberFormat="1" applyFont="1" applyFill="1" applyBorder="1" applyAlignment="1">
      <alignment horizontal="right" vertical="center" wrapText="1"/>
    </xf>
    <xf numFmtId="164" fontId="0" fillId="2" borderId="14" xfId="1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 wrapText="1"/>
    </xf>
    <xf numFmtId="164" fontId="0" fillId="2" borderId="1" xfId="1" applyFont="1" applyFill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65" fontId="0" fillId="0" borderId="2" xfId="2" applyNumberFormat="1" applyFont="1" applyBorder="1" applyAlignment="1">
      <alignment horizontal="right" vertical="center" wrapText="1"/>
    </xf>
    <xf numFmtId="165" fontId="0" fillId="0" borderId="4" xfId="2" applyNumberFormat="1" applyFont="1" applyBorder="1" applyAlignment="1">
      <alignment horizontal="right" vertical="center" wrapText="1"/>
    </xf>
    <xf numFmtId="165" fontId="0" fillId="0" borderId="3" xfId="2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right" vertical="center" wrapText="1"/>
    </xf>
    <xf numFmtId="165" fontId="1" fillId="2" borderId="4" xfId="0" applyNumberFormat="1" applyFont="1" applyFill="1" applyBorder="1" applyAlignment="1">
      <alignment horizontal="right" vertical="center" wrapText="1"/>
    </xf>
    <xf numFmtId="165" fontId="1" fillId="2" borderId="3" xfId="0" applyNumberFormat="1" applyFont="1" applyFill="1" applyBorder="1" applyAlignment="1">
      <alignment horizontal="right" vertical="center" wrapText="1"/>
    </xf>
    <xf numFmtId="0" fontId="1" fillId="9" borderId="65" xfId="0" applyFont="1" applyFill="1" applyBorder="1" applyAlignment="1">
      <alignment horizontal="center" vertical="center" wrapText="1"/>
    </xf>
    <xf numFmtId="0" fontId="1" fillId="9" borderId="66" xfId="0" applyFont="1" applyFill="1" applyBorder="1" applyAlignment="1">
      <alignment horizontal="center" vertical="center" wrapText="1"/>
    </xf>
    <xf numFmtId="164" fontId="0" fillId="9" borderId="66" xfId="0" applyNumberFormat="1" applyFont="1" applyFill="1" applyBorder="1" applyAlignment="1">
      <alignment horizontal="center" vertical="center" wrapText="1"/>
    </xf>
    <xf numFmtId="0" fontId="0" fillId="9" borderId="66" xfId="0" applyFont="1" applyFill="1" applyBorder="1" applyAlignment="1">
      <alignment horizontal="center" vertical="center" wrapText="1"/>
    </xf>
    <xf numFmtId="0" fontId="0" fillId="9" borderId="67" xfId="0" applyFont="1" applyFill="1" applyBorder="1" applyAlignment="1">
      <alignment horizontal="center" vertical="center" wrapText="1"/>
    </xf>
    <xf numFmtId="165" fontId="0" fillId="0" borderId="14" xfId="0" applyNumberFormat="1" applyBorder="1" applyAlignment="1">
      <alignment horizontal="right" vertical="center" wrapText="1"/>
    </xf>
    <xf numFmtId="164" fontId="0" fillId="0" borderId="14" xfId="1" applyFont="1" applyBorder="1" applyAlignment="1">
      <alignment horizontal="center" vertical="center" wrapText="1"/>
    </xf>
    <xf numFmtId="9" fontId="0" fillId="3" borderId="2" xfId="0" applyNumberFormat="1" applyFont="1" applyFill="1" applyBorder="1" applyAlignment="1">
      <alignment horizontal="right" vertical="center" wrapText="1"/>
    </xf>
    <xf numFmtId="0" fontId="0" fillId="3" borderId="4" xfId="0" applyFont="1" applyFill="1" applyBorder="1" applyAlignment="1">
      <alignment horizontal="right" vertical="center" wrapText="1"/>
    </xf>
    <xf numFmtId="0" fontId="0" fillId="3" borderId="3" xfId="0" applyFont="1" applyFill="1" applyBorder="1" applyAlignment="1">
      <alignment horizontal="right" vertical="center" wrapText="1"/>
    </xf>
    <xf numFmtId="0" fontId="0" fillId="3" borderId="2" xfId="0" applyFont="1" applyFill="1" applyBorder="1" applyAlignment="1">
      <alignment horizontal="right" vertical="center" wrapText="1"/>
    </xf>
    <xf numFmtId="0" fontId="0" fillId="0" borderId="14" xfId="0" applyBorder="1" applyAlignment="1">
      <alignment horizontal="center" vertical="center" wrapText="1"/>
    </xf>
    <xf numFmtId="164" fontId="0" fillId="9" borderId="65" xfId="1" applyFont="1" applyFill="1" applyBorder="1" applyAlignment="1">
      <alignment horizontal="center" vertical="center" wrapText="1"/>
    </xf>
    <xf numFmtId="164" fontId="0" fillId="9" borderId="66" xfId="1" applyFont="1" applyFill="1" applyBorder="1" applyAlignment="1">
      <alignment horizontal="center" vertical="center" wrapText="1"/>
    </xf>
    <xf numFmtId="164" fontId="0" fillId="9" borderId="67" xfId="1" applyFont="1" applyFill="1" applyBorder="1" applyAlignment="1">
      <alignment horizontal="center" vertical="center" wrapText="1"/>
    </xf>
    <xf numFmtId="165" fontId="0" fillId="0" borderId="72" xfId="0" applyNumberFormat="1" applyBorder="1" applyAlignment="1">
      <alignment horizontal="right" vertical="center" wrapText="1"/>
    </xf>
    <xf numFmtId="165" fontId="0" fillId="0" borderId="5" xfId="0" applyNumberFormat="1" applyBorder="1" applyAlignment="1">
      <alignment horizontal="right" vertical="center" wrapText="1"/>
    </xf>
    <xf numFmtId="165" fontId="0" fillId="0" borderId="16" xfId="0" applyNumberFormat="1" applyBorder="1" applyAlignment="1">
      <alignment horizontal="right" vertical="center" wrapText="1"/>
    </xf>
    <xf numFmtId="164" fontId="0" fillId="0" borderId="72" xfId="1" applyFont="1" applyBorder="1" applyAlignment="1">
      <alignment horizontal="center" vertical="center" wrapText="1"/>
    </xf>
    <xf numFmtId="164" fontId="0" fillId="0" borderId="5" xfId="1" applyFont="1" applyBorder="1" applyAlignment="1">
      <alignment horizontal="center" vertical="center" wrapText="1"/>
    </xf>
    <xf numFmtId="164" fontId="0" fillId="0" borderId="16" xfId="1" applyFont="1" applyBorder="1" applyAlignment="1">
      <alignment horizontal="center" vertical="center" wrapText="1"/>
    </xf>
    <xf numFmtId="0" fontId="0" fillId="3" borderId="72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1" fillId="2" borderId="7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165" fontId="0" fillId="0" borderId="2" xfId="0" applyNumberFormat="1" applyBorder="1" applyAlignment="1">
      <alignment horizontal="right" vertical="center" wrapText="1"/>
    </xf>
    <xf numFmtId="165" fontId="0" fillId="0" borderId="4" xfId="0" applyNumberFormat="1" applyBorder="1" applyAlignment="1">
      <alignment horizontal="right" vertical="center" wrapText="1"/>
    </xf>
    <xf numFmtId="165" fontId="0" fillId="0" borderId="3" xfId="0" applyNumberFormat="1" applyBorder="1" applyAlignment="1">
      <alignment horizontal="righ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5" fontId="0" fillId="0" borderId="1" xfId="2" applyNumberFormat="1" applyFont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 wrapText="1"/>
    </xf>
    <xf numFmtId="164" fontId="0" fillId="0" borderId="2" xfId="1" applyFont="1" applyBorder="1" applyAlignment="1">
      <alignment horizontal="center" vertical="center" wrapText="1"/>
    </xf>
    <xf numFmtId="164" fontId="0" fillId="0" borderId="4" xfId="1" applyFont="1" applyBorder="1" applyAlignment="1">
      <alignment horizontal="center" vertical="center" wrapText="1"/>
    </xf>
    <xf numFmtId="164" fontId="0" fillId="0" borderId="3" xfId="1" applyFont="1" applyBorder="1" applyAlignment="1">
      <alignment horizontal="center" vertical="center" wrapText="1"/>
    </xf>
    <xf numFmtId="0" fontId="1" fillId="9" borderId="81" xfId="0" applyFont="1" applyFill="1" applyBorder="1" applyAlignment="1">
      <alignment horizontal="center" vertical="center" wrapText="1"/>
    </xf>
    <xf numFmtId="164" fontId="0" fillId="8" borderId="21" xfId="1" applyFont="1" applyFill="1" applyBorder="1" applyAlignment="1">
      <alignment horizontal="center" vertical="center" wrapText="1"/>
    </xf>
    <xf numFmtId="164" fontId="0" fillId="8" borderId="22" xfId="1" applyFont="1" applyFill="1" applyBorder="1" applyAlignment="1">
      <alignment horizontal="center" vertical="center" wrapText="1"/>
    </xf>
    <xf numFmtId="164" fontId="0" fillId="8" borderId="23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64" fontId="0" fillId="9" borderId="65" xfId="0" applyNumberFormat="1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164" fontId="1" fillId="18" borderId="65" xfId="1" applyFont="1" applyFill="1" applyBorder="1" applyAlignment="1">
      <alignment horizontal="center" vertical="center" wrapText="1"/>
    </xf>
    <xf numFmtId="164" fontId="1" fillId="18" borderId="66" xfId="1" applyFont="1" applyFill="1" applyBorder="1" applyAlignment="1">
      <alignment horizontal="center" vertical="center" wrapText="1"/>
    </xf>
    <xf numFmtId="164" fontId="1" fillId="18" borderId="67" xfId="1" applyFont="1" applyFill="1" applyBorder="1" applyAlignment="1">
      <alignment horizontal="center" vertical="center" wrapText="1"/>
    </xf>
    <xf numFmtId="0" fontId="0" fillId="0" borderId="2" xfId="2" applyNumberFormat="1" applyFont="1" applyBorder="1" applyAlignment="1">
      <alignment horizontal="right" vertical="center" wrapText="1"/>
    </xf>
    <xf numFmtId="0" fontId="0" fillId="0" borderId="4" xfId="2" applyNumberFormat="1" applyFont="1" applyBorder="1" applyAlignment="1">
      <alignment horizontal="right" vertical="center" wrapText="1"/>
    </xf>
    <xf numFmtId="0" fontId="0" fillId="0" borderId="3" xfId="2" applyNumberFormat="1" applyFont="1" applyBorder="1" applyAlignment="1">
      <alignment horizontal="right" vertical="center" wrapText="1"/>
    </xf>
    <xf numFmtId="0" fontId="1" fillId="9" borderId="67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44" fontId="0" fillId="0" borderId="14" xfId="0" applyNumberFormat="1" applyBorder="1" applyAlignment="1">
      <alignment horizontal="center" vertical="center" wrapText="1"/>
    </xf>
    <xf numFmtId="44" fontId="0" fillId="0" borderId="2" xfId="0" applyNumberFormat="1" applyBorder="1" applyAlignment="1">
      <alignment horizontal="center" vertical="center" wrapText="1"/>
    </xf>
    <xf numFmtId="44" fontId="0" fillId="0" borderId="4" xfId="0" applyNumberFormat="1" applyBorder="1" applyAlignment="1">
      <alignment horizontal="center" vertical="center" wrapText="1"/>
    </xf>
    <xf numFmtId="44" fontId="0" fillId="0" borderId="3" xfId="0" applyNumberForma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7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65" fontId="0" fillId="0" borderId="14" xfId="0" applyNumberFormat="1" applyBorder="1" applyAlignment="1">
      <alignment horizontal="center" vertical="center" wrapText="1"/>
    </xf>
    <xf numFmtId="0" fontId="0" fillId="0" borderId="2" xfId="2" applyNumberFormat="1" applyFont="1" applyBorder="1" applyAlignment="1">
      <alignment horizontal="center" vertical="center" wrapText="1"/>
    </xf>
    <xf numFmtId="0" fontId="0" fillId="0" borderId="4" xfId="2" applyNumberFormat="1" applyFont="1" applyBorder="1" applyAlignment="1">
      <alignment horizontal="center" vertical="center" wrapText="1"/>
    </xf>
    <xf numFmtId="0" fontId="0" fillId="0" borderId="3" xfId="2" applyNumberFormat="1" applyFont="1" applyBorder="1" applyAlignment="1">
      <alignment horizontal="center" vertical="center" wrapText="1"/>
    </xf>
    <xf numFmtId="9" fontId="0" fillId="3" borderId="2" xfId="0" applyNumberFormat="1" applyFont="1" applyFill="1" applyBorder="1" applyAlignment="1">
      <alignment horizontal="center" vertical="center" wrapText="1"/>
    </xf>
    <xf numFmtId="165" fontId="0" fillId="0" borderId="72" xfId="0" applyNumberForma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 wrapText="1"/>
    </xf>
    <xf numFmtId="165" fontId="0" fillId="0" borderId="16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65" fontId="0" fillId="0" borderId="2" xfId="2" applyNumberFormat="1" applyFont="1" applyBorder="1" applyAlignment="1">
      <alignment horizontal="center" vertical="center" wrapText="1"/>
    </xf>
    <xf numFmtId="165" fontId="0" fillId="0" borderId="4" xfId="2" applyNumberFormat="1" applyFont="1" applyBorder="1" applyAlignment="1">
      <alignment horizontal="center" vertical="center" wrapText="1"/>
    </xf>
    <xf numFmtId="165" fontId="0" fillId="0" borderId="3" xfId="2" applyNumberFormat="1" applyFont="1" applyBorder="1" applyAlignment="1">
      <alignment horizontal="center" vertical="center" wrapText="1"/>
    </xf>
    <xf numFmtId="0" fontId="1" fillId="2" borderId="78" xfId="0" applyFont="1" applyFill="1" applyBorder="1" applyAlignment="1">
      <alignment horizontal="center" vertical="center" wrapText="1"/>
    </xf>
    <xf numFmtId="0" fontId="1" fillId="2" borderId="79" xfId="0" applyFont="1" applyFill="1" applyBorder="1" applyAlignment="1">
      <alignment horizontal="center" vertical="center" wrapText="1"/>
    </xf>
    <xf numFmtId="0" fontId="1" fillId="2" borderId="80" xfId="0" applyFont="1" applyFill="1" applyBorder="1" applyAlignment="1">
      <alignment horizontal="center" vertical="center" wrapText="1"/>
    </xf>
    <xf numFmtId="165" fontId="1" fillId="2" borderId="78" xfId="0" applyNumberFormat="1" applyFont="1" applyFill="1" applyBorder="1" applyAlignment="1">
      <alignment horizontal="right" vertical="center" wrapText="1"/>
    </xf>
    <xf numFmtId="165" fontId="1" fillId="2" borderId="79" xfId="0" applyNumberFormat="1" applyFont="1" applyFill="1" applyBorder="1" applyAlignment="1">
      <alignment horizontal="right" vertical="center" wrapText="1"/>
    </xf>
    <xf numFmtId="165" fontId="1" fillId="2" borderId="80" xfId="0" applyNumberFormat="1" applyFont="1" applyFill="1" applyBorder="1" applyAlignment="1">
      <alignment horizontal="right" vertical="center" wrapText="1"/>
    </xf>
    <xf numFmtId="164" fontId="0" fillId="9" borderId="77" xfId="1" applyFont="1" applyFill="1" applyBorder="1" applyAlignment="1">
      <alignment horizontal="center" vertical="center" wrapText="1"/>
    </xf>
    <xf numFmtId="164" fontId="0" fillId="18" borderId="65" xfId="1" applyFont="1" applyFill="1" applyBorder="1" applyAlignment="1">
      <alignment horizontal="center" vertical="center" wrapText="1"/>
    </xf>
    <xf numFmtId="164" fontId="0" fillId="18" borderId="66" xfId="1" applyFont="1" applyFill="1" applyBorder="1" applyAlignment="1">
      <alignment horizontal="center" vertical="center" wrapText="1"/>
    </xf>
    <xf numFmtId="164" fontId="0" fillId="18" borderId="67" xfId="1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164" fontId="3" fillId="9" borderId="1" xfId="1" applyFont="1" applyFill="1" applyBorder="1" applyAlignment="1">
      <alignment horizontal="center" vertical="center" wrapText="1"/>
    </xf>
    <xf numFmtId="0" fontId="6" fillId="19" borderId="24" xfId="0" applyFont="1" applyFill="1" applyBorder="1" applyAlignment="1">
      <alignment horizontal="center" vertical="center" wrapText="1"/>
    </xf>
    <xf numFmtId="0" fontId="6" fillId="19" borderId="25" xfId="0" applyFont="1" applyFill="1" applyBorder="1" applyAlignment="1">
      <alignment horizontal="center" vertical="center" wrapText="1"/>
    </xf>
    <xf numFmtId="0" fontId="6" fillId="19" borderId="26" xfId="0" applyFont="1" applyFill="1" applyBorder="1" applyAlignment="1">
      <alignment horizontal="center" vertical="center" wrapText="1"/>
    </xf>
    <xf numFmtId="0" fontId="1" fillId="5" borderId="65" xfId="0" applyFont="1" applyFill="1" applyBorder="1" applyAlignment="1">
      <alignment horizontal="center" vertical="center" wrapText="1"/>
    </xf>
    <xf numFmtId="0" fontId="1" fillId="5" borderId="66" xfId="0" applyFont="1" applyFill="1" applyBorder="1" applyAlignment="1">
      <alignment horizontal="center" vertical="center" wrapText="1"/>
    </xf>
    <xf numFmtId="0" fontId="1" fillId="5" borderId="67" xfId="0" applyFont="1" applyFill="1" applyBorder="1" applyAlignment="1">
      <alignment horizontal="center" vertical="center" wrapText="1"/>
    </xf>
    <xf numFmtId="164" fontId="0" fillId="5" borderId="65" xfId="1" applyFont="1" applyFill="1" applyBorder="1" applyAlignment="1">
      <alignment horizontal="center" vertical="center" wrapText="1"/>
    </xf>
    <xf numFmtId="164" fontId="0" fillId="5" borderId="66" xfId="1" applyFont="1" applyFill="1" applyBorder="1" applyAlignment="1">
      <alignment horizontal="center" vertical="center" wrapText="1"/>
    </xf>
    <xf numFmtId="164" fontId="0" fillId="5" borderId="67" xfId="1" applyFont="1" applyFill="1" applyBorder="1" applyAlignment="1">
      <alignment horizontal="center" vertical="center" wrapText="1"/>
    </xf>
    <xf numFmtId="164" fontId="6" fillId="18" borderId="66" xfId="1" applyFont="1" applyFill="1" applyBorder="1" applyAlignment="1">
      <alignment horizontal="center" vertical="center" wrapText="1"/>
    </xf>
    <xf numFmtId="164" fontId="6" fillId="18" borderId="67" xfId="1" applyFont="1" applyFill="1" applyBorder="1" applyAlignment="1">
      <alignment horizontal="center" vertical="center" wrapText="1"/>
    </xf>
    <xf numFmtId="44" fontId="0" fillId="0" borderId="2" xfId="1" applyNumberFormat="1" applyFont="1" applyBorder="1" applyAlignment="1">
      <alignment horizontal="center" vertical="center" wrapText="1"/>
    </xf>
    <xf numFmtId="44" fontId="0" fillId="0" borderId="4" xfId="1" applyNumberFormat="1" applyFont="1" applyBorder="1" applyAlignment="1">
      <alignment horizontal="center" vertical="center" wrapText="1"/>
    </xf>
    <xf numFmtId="44" fontId="0" fillId="0" borderId="3" xfId="1" applyNumberFormat="1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44" fontId="0" fillId="0" borderId="14" xfId="0" applyNumberFormat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44" fontId="0" fillId="0" borderId="4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6" fillId="18" borderId="65" xfId="1" applyFont="1" applyFill="1" applyBorder="1" applyAlignment="1">
      <alignment horizontal="center" vertical="center"/>
    </xf>
    <xf numFmtId="164" fontId="6" fillId="18" borderId="65" xfId="1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horizontal="left" vertical="center" wrapText="1"/>
    </xf>
    <xf numFmtId="0" fontId="0" fillId="8" borderId="2" xfId="0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164" fontId="0" fillId="8" borderId="2" xfId="1" applyFont="1" applyFill="1" applyBorder="1" applyAlignment="1">
      <alignment horizontal="center" vertical="center" wrapText="1"/>
    </xf>
    <xf numFmtId="164" fontId="0" fillId="8" borderId="4" xfId="1" applyFont="1" applyFill="1" applyBorder="1" applyAlignment="1">
      <alignment horizontal="center" vertical="center" wrapText="1"/>
    </xf>
    <xf numFmtId="164" fontId="0" fillId="8" borderId="3" xfId="1" applyFont="1" applyFill="1" applyBorder="1" applyAlignment="1">
      <alignment horizontal="center" vertical="center" wrapText="1"/>
    </xf>
    <xf numFmtId="0" fontId="6" fillId="9" borderId="65" xfId="0" applyFont="1" applyFill="1" applyBorder="1" applyAlignment="1">
      <alignment horizontal="center" vertical="center" wrapText="1"/>
    </xf>
    <xf numFmtId="0" fontId="6" fillId="9" borderId="66" xfId="0" applyFont="1" applyFill="1" applyBorder="1" applyAlignment="1">
      <alignment horizontal="center" vertical="center" wrapText="1"/>
    </xf>
    <xf numFmtId="0" fontId="6" fillId="9" borderId="67" xfId="0" applyFont="1" applyFill="1" applyBorder="1" applyAlignment="1">
      <alignment horizontal="center" vertical="center" wrapText="1"/>
    </xf>
    <xf numFmtId="164" fontId="3" fillId="9" borderId="65" xfId="1" applyFont="1" applyFill="1" applyBorder="1" applyAlignment="1">
      <alignment horizontal="center" vertical="center" wrapText="1"/>
    </xf>
    <xf numFmtId="164" fontId="3" fillId="9" borderId="66" xfId="1" applyFont="1" applyFill="1" applyBorder="1" applyAlignment="1">
      <alignment horizontal="center" vertical="center" wrapText="1"/>
    </xf>
    <xf numFmtId="164" fontId="3" fillId="9" borderId="67" xfId="1" applyFont="1" applyFill="1" applyBorder="1" applyAlignment="1">
      <alignment horizontal="center" vertical="center" wrapText="1"/>
    </xf>
    <xf numFmtId="164" fontId="3" fillId="9" borderId="65" xfId="0" applyNumberFormat="1" applyFont="1" applyFill="1" applyBorder="1" applyAlignment="1">
      <alignment horizontal="center" vertical="center" wrapText="1"/>
    </xf>
    <xf numFmtId="0" fontId="3" fillId="9" borderId="66" xfId="0" applyFont="1" applyFill="1" applyBorder="1" applyAlignment="1">
      <alignment horizontal="center" vertical="center" wrapText="1"/>
    </xf>
    <xf numFmtId="0" fontId="3" fillId="9" borderId="6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9" borderId="24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6" fillId="18" borderId="24" xfId="1" applyFont="1" applyFill="1" applyBorder="1" applyAlignment="1">
      <alignment horizontal="center" vertical="center"/>
    </xf>
    <xf numFmtId="164" fontId="6" fillId="18" borderId="25" xfId="1" applyFont="1" applyFill="1" applyBorder="1" applyAlignment="1">
      <alignment horizontal="center" vertical="center"/>
    </xf>
    <xf numFmtId="164" fontId="6" fillId="18" borderId="26" xfId="1" applyFont="1" applyFill="1" applyBorder="1" applyAlignment="1">
      <alignment horizontal="center" vertical="center"/>
    </xf>
    <xf numFmtId="0" fontId="0" fillId="8" borderId="4" xfId="0" applyFont="1" applyFill="1" applyBorder="1" applyAlignment="1">
      <alignment horizontal="left" vertical="center" wrapText="1"/>
    </xf>
    <xf numFmtId="0" fontId="0" fillId="8" borderId="3" xfId="0" applyFont="1" applyFill="1" applyBorder="1" applyAlignment="1">
      <alignment horizontal="left" vertical="center" wrapText="1"/>
    </xf>
    <xf numFmtId="164" fontId="0" fillId="8" borderId="2" xfId="1" applyFont="1" applyFill="1" applyBorder="1" applyAlignment="1">
      <alignment horizontal="center" vertical="center"/>
    </xf>
    <xf numFmtId="164" fontId="0" fillId="8" borderId="4" xfId="1" applyFont="1" applyFill="1" applyBorder="1" applyAlignment="1">
      <alignment horizontal="center" vertical="center"/>
    </xf>
    <xf numFmtId="164" fontId="0" fillId="8" borderId="3" xfId="1" applyFont="1" applyFill="1" applyBorder="1" applyAlignment="1">
      <alignment horizontal="center" vertical="center"/>
    </xf>
    <xf numFmtId="0" fontId="6" fillId="9" borderId="65" xfId="0" applyFont="1" applyFill="1" applyBorder="1" applyAlignment="1">
      <alignment horizontal="center" vertical="center"/>
    </xf>
    <xf numFmtId="0" fontId="6" fillId="9" borderId="66" xfId="0" applyFont="1" applyFill="1" applyBorder="1" applyAlignment="1">
      <alignment horizontal="center" vertical="center"/>
    </xf>
    <xf numFmtId="0" fontId="6" fillId="9" borderId="67" xfId="0" applyFont="1" applyFill="1" applyBorder="1" applyAlignment="1">
      <alignment horizontal="center" vertical="center"/>
    </xf>
    <xf numFmtId="164" fontId="3" fillId="9" borderId="65" xfId="1" applyFont="1" applyFill="1" applyBorder="1" applyAlignment="1">
      <alignment horizontal="center" vertical="center"/>
    </xf>
    <xf numFmtId="164" fontId="3" fillId="9" borderId="66" xfId="1" applyFont="1" applyFill="1" applyBorder="1" applyAlignment="1">
      <alignment horizontal="center" vertical="center"/>
    </xf>
    <xf numFmtId="164" fontId="3" fillId="9" borderId="67" xfId="1" applyFont="1" applyFill="1" applyBorder="1" applyAlignment="1">
      <alignment horizontal="center" vertical="center"/>
    </xf>
    <xf numFmtId="164" fontId="3" fillId="9" borderId="65" xfId="0" applyNumberFormat="1" applyFont="1" applyFill="1" applyBorder="1" applyAlignment="1">
      <alignment horizontal="center" vertical="center"/>
    </xf>
    <xf numFmtId="0" fontId="3" fillId="9" borderId="66" xfId="0" applyFont="1" applyFill="1" applyBorder="1" applyAlignment="1">
      <alignment horizontal="center" vertical="center"/>
    </xf>
    <xf numFmtId="0" fontId="3" fillId="9" borderId="67" xfId="0" applyFont="1" applyFill="1" applyBorder="1" applyAlignment="1">
      <alignment horizontal="center" vertical="center"/>
    </xf>
    <xf numFmtId="0" fontId="3" fillId="22" borderId="72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/>
    </xf>
    <xf numFmtId="0" fontId="0" fillId="0" borderId="72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165" fontId="0" fillId="0" borderId="14" xfId="0" applyNumberFormat="1" applyFont="1" applyBorder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165" fontId="0" fillId="0" borderId="1" xfId="0" applyNumberFormat="1" applyFont="1" applyBorder="1" applyAlignment="1">
      <alignment horizontal="right" vertical="center"/>
    </xf>
    <xf numFmtId="0" fontId="0" fillId="0" borderId="72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165" fontId="0" fillId="0" borderId="72" xfId="0" applyNumberFormat="1" applyFont="1" applyBorder="1" applyAlignment="1">
      <alignment horizontal="right" vertical="center"/>
    </xf>
    <xf numFmtId="165" fontId="0" fillId="0" borderId="5" xfId="0" applyNumberFormat="1" applyFont="1" applyBorder="1" applyAlignment="1">
      <alignment horizontal="right" vertical="center"/>
    </xf>
    <xf numFmtId="165" fontId="0" fillId="0" borderId="16" xfId="0" applyNumberFormat="1" applyFont="1" applyBorder="1" applyAlignment="1">
      <alignment horizontal="right" vertical="center"/>
    </xf>
    <xf numFmtId="164" fontId="19" fillId="9" borderId="65" xfId="0" applyNumberFormat="1" applyFont="1" applyFill="1" applyBorder="1" applyAlignment="1">
      <alignment horizontal="center" vertical="center"/>
    </xf>
    <xf numFmtId="0" fontId="19" fillId="9" borderId="66" xfId="0" applyFont="1" applyFill="1" applyBorder="1" applyAlignment="1">
      <alignment horizontal="center" vertical="center"/>
    </xf>
    <xf numFmtId="0" fontId="19" fillId="9" borderId="67" xfId="0" applyFont="1" applyFill="1" applyBorder="1" applyAlignment="1">
      <alignment horizontal="center" vertical="center"/>
    </xf>
    <xf numFmtId="0" fontId="20" fillId="2" borderId="72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164" fontId="19" fillId="2" borderId="14" xfId="1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0" fillId="0" borderId="2" xfId="0" applyNumberFormat="1" applyFont="1" applyBorder="1" applyAlignment="1">
      <alignment horizontal="right" vertical="center"/>
    </xf>
    <xf numFmtId="165" fontId="0" fillId="0" borderId="4" xfId="0" applyNumberFormat="1" applyFont="1" applyBorder="1" applyAlignment="1">
      <alignment horizontal="right" vertical="center"/>
    </xf>
    <xf numFmtId="165" fontId="0" fillId="0" borderId="3" xfId="0" applyNumberFormat="1" applyFont="1" applyBorder="1" applyAlignment="1">
      <alignment horizontal="right" vertical="center"/>
    </xf>
    <xf numFmtId="0" fontId="0" fillId="8" borderId="2" xfId="0" applyFont="1" applyFill="1" applyBorder="1" applyAlignment="1">
      <alignment horizontal="center" vertical="center"/>
    </xf>
    <xf numFmtId="0" fontId="0" fillId="8" borderId="3" xfId="0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right" vertical="center"/>
    </xf>
    <xf numFmtId="0" fontId="0" fillId="0" borderId="4" xfId="0" applyFont="1" applyBorder="1" applyAlignment="1">
      <alignment horizontal="center" vertical="center" wrapText="1"/>
    </xf>
    <xf numFmtId="44" fontId="0" fillId="0" borderId="2" xfId="0" applyNumberFormat="1" applyFont="1" applyBorder="1" applyAlignment="1">
      <alignment horizontal="center" vertical="center"/>
    </xf>
    <xf numFmtId="44" fontId="0" fillId="0" borderId="4" xfId="0" applyNumberFormat="1" applyFont="1" applyBorder="1" applyAlignment="1">
      <alignment horizontal="center" vertical="center"/>
    </xf>
    <xf numFmtId="44" fontId="0" fillId="0" borderId="3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0" fillId="0" borderId="14" xfId="0" applyNumberFormat="1" applyFont="1" applyBorder="1" applyAlignment="1">
      <alignment horizontal="center" vertical="center"/>
    </xf>
  </cellXfs>
  <cellStyles count="4">
    <cellStyle name="Moeda" xfId="1" builtinId="4"/>
    <cellStyle name="Normal" xfId="0" builtinId="0"/>
    <cellStyle name="Normal 2" xfId="3"/>
    <cellStyle name="Porcentagem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22"/>
    </mc:Choice>
    <mc:Fallback>
      <c:style val="2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 u="none" baseline="0"/>
              <a:t>CARGO/FUNÇÃO SERVIDOR PMPA x TERCEIRIZADO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'COMPARAÇÃO PMPA'!$C$78</c:f>
              <c:strCache>
                <c:ptCount val="1"/>
                <c:pt idx="0">
                  <c:v>DESPESA EQUIPARADA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'COMPARAÇÃO PMPA'!$B$79:$B$152</c:f>
              <c:strCache>
                <c:ptCount val="74"/>
                <c:pt idx="0">
                  <c:v>AUXILIAR ADMINISTRATIVO 44 HR</c:v>
                </c:pt>
                <c:pt idx="1">
                  <c:v>AUXILIAR ADMINISTRATIVO 12X36 DIURNO</c:v>
                </c:pt>
                <c:pt idx="2">
                  <c:v>RECEPCIONISTA 44 HR SEMANAIS</c:v>
                </c:pt>
                <c:pt idx="3">
                  <c:v>RECEPCIONISTA 12X36 DIURNO</c:v>
                </c:pt>
                <c:pt idx="4">
                  <c:v>RECEPCIONISTA 12X36 NOTURNO</c:v>
                </c:pt>
                <c:pt idx="5">
                  <c:v>AUXILIAR DE COZINHA 44HR</c:v>
                </c:pt>
                <c:pt idx="6">
                  <c:v>AUXILIAR DE COZINHA 12X36 DIA</c:v>
                </c:pt>
                <c:pt idx="7">
                  <c:v>AUX DE LIMPEZA/FAXINEIRO/SERVIÇOS GERAIS 44HR</c:v>
                </c:pt>
                <c:pt idx="8">
                  <c:v>AUX DE LIMP/FAXINEIRO/SERV GERAIS 44HR INSALUBRE 20%</c:v>
                </c:pt>
                <c:pt idx="9">
                  <c:v>AUX DE LIMP/FAXINEIRO/SERV GERAIS 44HR INSALUBRE 40%</c:v>
                </c:pt>
                <c:pt idx="10">
                  <c:v>AUX DE LIMP/FAXINEIRO/SERV GERAIS 12X36 DIA SEM INSAL</c:v>
                </c:pt>
                <c:pt idx="11">
                  <c:v>AUX DE LIMP/FAXINEIRO/SERV GERAIS 12X36 DIA COM 20% INSAL</c:v>
                </c:pt>
                <c:pt idx="12">
                  <c:v>AUX DE LIMP/FAXINEIRO/SERV GERAIS 12X36 DIA COM 40% INSAL</c:v>
                </c:pt>
                <c:pt idx="13">
                  <c:v>AUX DE LIMP/FAXINEIRO/SERV GERAIS 12X36 NOITE SEM INSAL</c:v>
                </c:pt>
                <c:pt idx="14">
                  <c:v>AUX DE LIMP/FAXINEIRO/SERV GERAIS 12X36 NOITE COM 20% INSAL</c:v>
                </c:pt>
                <c:pt idx="15">
                  <c:v>AUX DE LIMP/FAXINEIRO/SERV GERAIS 12X36 NOITE COM 40% INSAL</c:v>
                </c:pt>
                <c:pt idx="16">
                  <c:v>VARREDEIRA/GARI/OPERADOR DE ROÇADEIRA/CARRINHEIRO</c:v>
                </c:pt>
                <c:pt idx="17">
                  <c:v>COLETOR DE LIXO 44 HR</c:v>
                </c:pt>
                <c:pt idx="18">
                  <c:v>AGENTE DE FISCALIZAÇÃO DE RUA 44HR</c:v>
                </c:pt>
                <c:pt idx="19">
                  <c:v>JARDINEIRO 44HR</c:v>
                </c:pt>
                <c:pt idx="20">
                  <c:v>CONTINUO 44 HR</c:v>
                </c:pt>
                <c:pt idx="21">
                  <c:v>TECNICO DE RX/RADIOLOGIA DIA</c:v>
                </c:pt>
                <c:pt idx="22">
                  <c:v>TECNICO DE RX/RADIOLOGIA NOITE</c:v>
                </c:pt>
                <c:pt idx="23">
                  <c:v>TELEFONISTA 36HR</c:v>
                </c:pt>
                <c:pt idx="24">
                  <c:v>MONITOR DE TRANSPORTES/CRECHE/ESCOLA</c:v>
                </c:pt>
                <c:pt idx="25">
                  <c:v>MOTORISTA DE CAMINHAO 44H</c:v>
                </c:pt>
                <c:pt idx="26">
                  <c:v>MOTORISTA DE ÔNIBUS ESCOLAR/MICROONIBUS ESCOLAR</c:v>
                </c:pt>
                <c:pt idx="27">
                  <c:v>MOTORISTA DE CARRO ATE 7 LUGARES</c:v>
                </c:pt>
                <c:pt idx="28">
                  <c:v>MOTORISTA AMBULANCIA 12X36 DIA</c:v>
                </c:pt>
                <c:pt idx="29">
                  <c:v>MOTORISTA AMBULANCIA 12X36 NOITE</c:v>
                </c:pt>
                <c:pt idx="30">
                  <c:v>PORTEIRO 44HR</c:v>
                </c:pt>
                <c:pt idx="31">
                  <c:v>PORTEIRO 12 X 36 DIURNO</c:v>
                </c:pt>
                <c:pt idx="32">
                  <c:v>PORTEIRO 12 X 36 NOTURNO</c:v>
                </c:pt>
                <c:pt idx="33">
                  <c:v>FARMACEUTICO 40HR</c:v>
                </c:pt>
                <c:pt idx="34">
                  <c:v>TECNICO LABORATORIO 44HR</c:v>
                </c:pt>
                <c:pt idx="35">
                  <c:v>TECNICO LABORATORIO 12X36 DIA</c:v>
                </c:pt>
                <c:pt idx="36">
                  <c:v>TECNICO LABORATORIO 12X36 NOITE</c:v>
                </c:pt>
                <c:pt idx="37">
                  <c:v>ENFERMEIRO 12X36 DIA</c:v>
                </c:pt>
                <c:pt idx="38">
                  <c:v>ENFERMEIRO 12X36 NOITE</c:v>
                </c:pt>
                <c:pt idx="39">
                  <c:v>FISIOTERAPEUTA</c:v>
                </c:pt>
                <c:pt idx="40">
                  <c:v>TECNICO DE ENFERMAGEM 12X36 DIA</c:v>
                </c:pt>
                <c:pt idx="41">
                  <c:v>TECNICO DE ENFERMAGEM 12X36 NOITE</c:v>
                </c:pt>
                <c:pt idx="42">
                  <c:v>COZINHEIRO 44 HR</c:v>
                </c:pt>
                <c:pt idx="43">
                  <c:v>COZINHEIRO 12X36 DIURNO</c:v>
                </c:pt>
                <c:pt idx="44">
                  <c:v>AUXILIAR DE SAUDE BUCAL 44HR</c:v>
                </c:pt>
                <c:pt idx="45">
                  <c:v>TECNICO EM SAUDE BUCAL 44HR</c:v>
                </c:pt>
                <c:pt idx="46">
                  <c:v>ATENDENTE DE FARMACIA 44HR</c:v>
                </c:pt>
                <c:pt idx="47">
                  <c:v>MOTORISTA DE COLETA DE LIXO DOMICILAR</c:v>
                </c:pt>
                <c:pt idx="48">
                  <c:v>ROÇADOR/PODADOR</c:v>
                </c:pt>
                <c:pt idx="49">
                  <c:v>SUPERVISOR GERAL</c:v>
                </c:pt>
                <c:pt idx="50">
                  <c:v>ENCARREGADO GERAL</c:v>
                </c:pt>
                <c:pt idx="51">
                  <c:v>ASSISTENTE SOCIAL</c:v>
                </c:pt>
                <c:pt idx="52">
                  <c:v>FARMACEUTICO BIOQUIMICO 12X36 DIA</c:v>
                </c:pt>
                <c:pt idx="53">
                  <c:v>FARMACEUTICO BIOQUIMICO 12X36 NOITE</c:v>
                </c:pt>
                <c:pt idx="54">
                  <c:v>DENTISTA</c:v>
                </c:pt>
                <c:pt idx="55">
                  <c:v>FONOAUDIOLOGO</c:v>
                </c:pt>
                <c:pt idx="56">
                  <c:v>NUTRICIONISTA</c:v>
                </c:pt>
                <c:pt idx="57">
                  <c:v>PSICOLOGO</c:v>
                </c:pt>
                <c:pt idx="58">
                  <c:v>TERAPEUTA OCUPACIONAL</c:v>
                </c:pt>
                <c:pt idx="59">
                  <c:v>MEDICO CLINICO GENERALISTA</c:v>
                </c:pt>
                <c:pt idx="60">
                  <c:v>MEDICO CLINICO GENERALISTA</c:v>
                </c:pt>
                <c:pt idx="61">
                  <c:v>MEDICO PLANTONISTA 12 HORAS</c:v>
                </c:pt>
                <c:pt idx="62">
                  <c:v>MEDICO ESPECIALISTA</c:v>
                </c:pt>
                <c:pt idx="63">
                  <c:v>PEDREIRO</c:v>
                </c:pt>
                <c:pt idx="64">
                  <c:v>AJUDANTE DE OBRAS/SERVENTE</c:v>
                </c:pt>
                <c:pt idx="65">
                  <c:v>BOMBEIRO HIDRAULICO</c:v>
                </c:pt>
                <c:pt idx="66">
                  <c:v>ELETRICISTA</c:v>
                </c:pt>
                <c:pt idx="67">
                  <c:v>PINTOR DE OBRAS</c:v>
                </c:pt>
                <c:pt idx="68">
                  <c:v>MARCENEIRO</c:v>
                </c:pt>
                <c:pt idx="69">
                  <c:v>CALCETEIRO</c:v>
                </c:pt>
                <c:pt idx="70">
                  <c:v>ENGENHEIRO JUNIOR</c:v>
                </c:pt>
                <c:pt idx="71">
                  <c:v>ENGENHEIRO PLENO</c:v>
                </c:pt>
                <c:pt idx="72">
                  <c:v>ENGENHEIRO SENIOR</c:v>
                </c:pt>
                <c:pt idx="73">
                  <c:v>TECNICO INFORMATICA</c:v>
                </c:pt>
              </c:strCache>
            </c:strRef>
          </c:cat>
          <c:val>
            <c:numRef>
              <c:f>'COMPARAÇÃO PMPA'!$C$79:$C$152</c:f>
              <c:numCache>
                <c:formatCode>_-"R$"* #,##0.00_-;\-"R$"* #,##0.00_-;_-"R$"* "-"??_-;_-@_-</c:formatCode>
                <c:ptCount val="74"/>
                <c:pt idx="0">
                  <c:v>4924.4841411127027</c:v>
                </c:pt>
                <c:pt idx="1">
                  <c:v>4604.1425603950574</c:v>
                </c:pt>
                <c:pt idx="2">
                  <c:v>5437.8884274727006</c:v>
                </c:pt>
                <c:pt idx="3">
                  <c:v>5117.5468467550545</c:v>
                </c:pt>
                <c:pt idx="4">
                  <c:v>5739.1221071907466</c:v>
                </c:pt>
                <c:pt idx="5">
                  <c:v>4049.6404721861722</c:v>
                </c:pt>
                <c:pt idx="6">
                  <c:v>3828.6777282564281</c:v>
                </c:pt>
                <c:pt idx="7">
                  <c:v>4009.0882172775896</c:v>
                </c:pt>
                <c:pt idx="8">
                  <c:v>4428.0770394241863</c:v>
                </c:pt>
                <c:pt idx="9">
                  <c:v>4847.0658615707835</c:v>
                </c:pt>
                <c:pt idx="10">
                  <c:v>3688.746941731993</c:v>
                </c:pt>
                <c:pt idx="11">
                  <c:v>4107.7357638785907</c:v>
                </c:pt>
                <c:pt idx="12">
                  <c:v>4526.724586025186</c:v>
                </c:pt>
                <c:pt idx="13">
                  <c:v>4069.7799363818767</c:v>
                </c:pt>
                <c:pt idx="14">
                  <c:v>4558.7949589292948</c:v>
                </c:pt>
                <c:pt idx="15">
                  <c:v>5047.8099814767111</c:v>
                </c:pt>
                <c:pt idx="16">
                  <c:v>4813.9415298790846</c:v>
                </c:pt>
                <c:pt idx="17">
                  <c:v>5024.1507546134781</c:v>
                </c:pt>
                <c:pt idx="18">
                  <c:v>4277.9387877232175</c:v>
                </c:pt>
                <c:pt idx="19">
                  <c:v>4719.6527020285985</c:v>
                </c:pt>
                <c:pt idx="20">
                  <c:v>3978.0289233117987</c:v>
                </c:pt>
                <c:pt idx="21">
                  <c:v>5634.5079175173214</c:v>
                </c:pt>
                <c:pt idx="22">
                  <c:v>6474.3460472912147</c:v>
                </c:pt>
                <c:pt idx="23">
                  <c:v>4665.1315658092617</c:v>
                </c:pt>
                <c:pt idx="24">
                  <c:v>3662.3252005634886</c:v>
                </c:pt>
                <c:pt idx="25">
                  <c:v>5288.9061393787406</c:v>
                </c:pt>
                <c:pt idx="26">
                  <c:v>7426.7387289798635</c:v>
                </c:pt>
                <c:pt idx="27">
                  <c:v>5190.7889325271808</c:v>
                </c:pt>
                <c:pt idx="28">
                  <c:v>8127.6991004514039</c:v>
                </c:pt>
                <c:pt idx="29">
                  <c:v>9179.0673120562733</c:v>
                </c:pt>
                <c:pt idx="30">
                  <c:v>4495.111301569671</c:v>
                </c:pt>
                <c:pt idx="31">
                  <c:v>4167.9971173439153</c:v>
                </c:pt>
                <c:pt idx="32">
                  <c:v>4890.6036049445574</c:v>
                </c:pt>
                <c:pt idx="33">
                  <c:v>9452.9595057152401</c:v>
                </c:pt>
                <c:pt idx="34">
                  <c:v>3800.1020212967842</c:v>
                </c:pt>
                <c:pt idx="35">
                  <c:v>3715.2000711007804</c:v>
                </c:pt>
                <c:pt idx="36">
                  <c:v>4419.2053594796871</c:v>
                </c:pt>
                <c:pt idx="37">
                  <c:v>6023.0546237961762</c:v>
                </c:pt>
                <c:pt idx="38">
                  <c:v>7114.6908823473605</c:v>
                </c:pt>
                <c:pt idx="39">
                  <c:v>4341.003795627752</c:v>
                </c:pt>
                <c:pt idx="40">
                  <c:v>4568.6048307700548</c:v>
                </c:pt>
                <c:pt idx="41">
                  <c:v>5154.8425797198997</c:v>
                </c:pt>
                <c:pt idx="42">
                  <c:v>4528.1649643434303</c:v>
                </c:pt>
                <c:pt idx="43">
                  <c:v>4307.2021965256245</c:v>
                </c:pt>
                <c:pt idx="44">
                  <c:v>4470.7456559167522</c:v>
                </c:pt>
                <c:pt idx="45">
                  <c:v>4656.6003742930388</c:v>
                </c:pt>
                <c:pt idx="46" formatCode="_(&quot;R$&quot;* #,##0.00_);_(&quot;R$&quot;* \(#,##0.00\);_(&quot;R$&quot;* &quot;-&quot;??_);_(@_)">
                  <c:v>4051.756423777515</c:v>
                </c:pt>
                <c:pt idx="47" formatCode="_(&quot;R$&quot;* #,##0.00_);_(&quot;R$&quot;* \(#,##0.00\);_(&quot;R$&quot;* &quot;-&quot;??_);_(@_)">
                  <c:v>6373.3980076049138</c:v>
                </c:pt>
                <c:pt idx="48" formatCode="_(&quot;R$&quot;* #,##0.00_);_(&quot;R$&quot;* \(#,##0.00\);_(&quot;R$&quot;* &quot;-&quot;??_);_(@_)">
                  <c:v>4659.9160265568589</c:v>
                </c:pt>
                <c:pt idx="49" formatCode="_(&quot;R$&quot;* #,##0.00_);_(&quot;R$&quot;* \(#,##0.00\);_(&quot;R$&quot;* &quot;-&quot;??_);_(@_)">
                  <c:v>5732.5949064922097</c:v>
                </c:pt>
                <c:pt idx="50" formatCode="_(&quot;R$&quot;* #,##0.00_);_(&quot;R$&quot;* \(#,##0.00\);_(&quot;R$&quot;* &quot;-&quot;??_);_(@_)">
                  <c:v>4799.4300055970707</c:v>
                </c:pt>
                <c:pt idx="51" formatCode="_(&quot;R$&quot;* #,##0.00_);_(&quot;R$&quot;* \(#,##0.00\);_(&quot;R$&quot;* &quot;-&quot;??_);_(@_)">
                  <c:v>6788.8176182620782</c:v>
                </c:pt>
                <c:pt idx="52" formatCode="_(&quot;R$&quot;* #,##0.00_);_(&quot;R$&quot;* \(#,##0.00\);_(&quot;R$&quot;* &quot;-&quot;??_);_(@_)">
                  <c:v>6129.8931523538467</c:v>
                </c:pt>
                <c:pt idx="53" formatCode="_(&quot;R$&quot;* #,##0.00_);_(&quot;R$&quot;* \(#,##0.00\);_(&quot;R$&quot;* &quot;-&quot;??_);_(@_)">
                  <c:v>6895.7078476760053</c:v>
                </c:pt>
                <c:pt idx="54" formatCode="_(&quot;R$&quot;* #,##0.00_);_(&quot;R$&quot;* \(#,##0.00\);_(&quot;R$&quot;* &quot;-&quot;??_);_(@_)">
                  <c:v>9520.0573183156685</c:v>
                </c:pt>
                <c:pt idx="55" formatCode="_(&quot;R$&quot;* #,##0.00_);_(&quot;R$&quot;* \(#,##0.00\);_(&quot;R$&quot;* &quot;-&quot;??_);_(@_)">
                  <c:v>6004.99186835398</c:v>
                </c:pt>
                <c:pt idx="56" formatCode="_(&quot;R$&quot;* #,##0.00_);_(&quot;R$&quot;* \(#,##0.00\);_(&quot;R$&quot;* &quot;-&quot;??_);_(@_)">
                  <c:v>6528.4140588464725</c:v>
                </c:pt>
                <c:pt idx="57" formatCode="_(&quot;R$&quot;* #,##0.00_);_(&quot;R$&quot;* \(#,##0.00\);_(&quot;R$&quot;* &quot;-&quot;??_);_(@_)">
                  <c:v>6642.66380209822</c:v>
                </c:pt>
                <c:pt idx="58" formatCode="_(&quot;R$&quot;* #,##0.00_);_(&quot;R$&quot;* \(#,##0.00\);_(&quot;R$&quot;* &quot;-&quot;??_);_(@_)">
                  <c:v>7402.758382794831</c:v>
                </c:pt>
                <c:pt idx="59" formatCode="_(&quot;R$&quot;* #,##0.00_);_(&quot;R$&quot;* \(#,##0.00\);_(&quot;R$&quot;* &quot;-&quot;??_);_(@_)">
                  <c:v>12189.700336319773</c:v>
                </c:pt>
                <c:pt idx="60" formatCode="_(&quot;R$&quot;* #,##0.00_);_(&quot;R$&quot;* \(#,##0.00\);_(&quot;R$&quot;* &quot;-&quot;??_);_(@_)">
                  <c:v>22525.803841224486</c:v>
                </c:pt>
                <c:pt idx="61" formatCode="_(&quot;R$&quot;* #,##0.00_);_(&quot;R$&quot;* \(#,##0.00\);_(&quot;R$&quot;* &quot;-&quot;??_);_(@_)">
                  <c:v>3078.0069899707828</c:v>
                </c:pt>
                <c:pt idx="62" formatCode="_(&quot;R$&quot;* #,##0.00_);_(&quot;R$&quot;* \(#,##0.00\);_(&quot;R$&quot;* &quot;-&quot;??_);_(@_)">
                  <c:v>17213.722034307808</c:v>
                </c:pt>
                <c:pt idx="63" formatCode="_(&quot;R$&quot;* #,##0.00_);_(&quot;R$&quot;* \(#,##0.00\);_(&quot;R$&quot;* &quot;-&quot;??_);_(@_)">
                  <c:v>6997.1939878016401</c:v>
                </c:pt>
                <c:pt idx="64" formatCode="_(&quot;R$&quot;* #,##0.00_);_(&quot;R$&quot;* \(#,##0.00\);_(&quot;R$&quot;* &quot;-&quot;??_);_(@_)">
                  <c:v>5383.4034318478161</c:v>
                </c:pt>
                <c:pt idx="65" formatCode="_(&quot;R$&quot;* #,##0.00_);_(&quot;R$&quot;* \(#,##0.00\);_(&quot;R$&quot;* &quot;-&quot;??_);_(@_)">
                  <c:v>6997.1939878016401</c:v>
                </c:pt>
                <c:pt idx="66" formatCode="_(&quot;R$&quot;* #,##0.00_);_(&quot;R$&quot;* \(#,##0.00\);_(&quot;R$&quot;* &quot;-&quot;??_);_(@_)">
                  <c:v>6997.1939878016401</c:v>
                </c:pt>
                <c:pt idx="67" formatCode="_(&quot;R$&quot;* #,##0.00_);_(&quot;R$&quot;* \(#,##0.00\);_(&quot;R$&quot;* &quot;-&quot;??_);_(@_)">
                  <c:v>6997.1939878016401</c:v>
                </c:pt>
                <c:pt idx="68" formatCode="_(&quot;R$&quot;* #,##0.00_);_(&quot;R$&quot;* \(#,##0.00\);_(&quot;R$&quot;* &quot;-&quot;??_);_(@_)">
                  <c:v>6997.1939878016401</c:v>
                </c:pt>
                <c:pt idx="69">
                  <c:v>150</c:v>
                </c:pt>
                <c:pt idx="70">
                  <c:v>21423.398717929427</c:v>
                </c:pt>
                <c:pt idx="71">
                  <c:v>34196.571805940141</c:v>
                </c:pt>
                <c:pt idx="72">
                  <c:v>37323.538482791904</c:v>
                </c:pt>
                <c:pt idx="73">
                  <c:v>6170.4523213474367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67-4769-A400-AA6AA5F39422}"/>
            </c:ext>
          </c:extLst>
        </c:ser>
        <c:ser>
          <c:idx val="1"/>
          <c:order val="1"/>
          <c:tx>
            <c:v>TERCEIRIZADO</c:v>
          </c:tx>
          <c:spPr>
            <a:solidFill>
              <a:srgbClr val="92D050"/>
            </a:solidFill>
          </c:spPr>
          <c:invertIfNegative val="0"/>
          <c:cat>
            <c:strRef>
              <c:f>'COMPARAÇÃO PMPA'!$B$79:$B$152</c:f>
              <c:strCache>
                <c:ptCount val="74"/>
                <c:pt idx="0">
                  <c:v>AUXILIAR ADMINISTRATIVO 44 HR</c:v>
                </c:pt>
                <c:pt idx="1">
                  <c:v>AUXILIAR ADMINISTRATIVO 12X36 DIURNO</c:v>
                </c:pt>
                <c:pt idx="2">
                  <c:v>RECEPCIONISTA 44 HR SEMANAIS</c:v>
                </c:pt>
                <c:pt idx="3">
                  <c:v>RECEPCIONISTA 12X36 DIURNO</c:v>
                </c:pt>
                <c:pt idx="4">
                  <c:v>RECEPCIONISTA 12X36 NOTURNO</c:v>
                </c:pt>
                <c:pt idx="5">
                  <c:v>AUXILIAR DE COZINHA 44HR</c:v>
                </c:pt>
                <c:pt idx="6">
                  <c:v>AUXILIAR DE COZINHA 12X36 DIA</c:v>
                </c:pt>
                <c:pt idx="7">
                  <c:v>AUX DE LIMPEZA/FAXINEIRO/SERVIÇOS GERAIS 44HR</c:v>
                </c:pt>
                <c:pt idx="8">
                  <c:v>AUX DE LIMP/FAXINEIRO/SERV GERAIS 44HR INSALUBRE 20%</c:v>
                </c:pt>
                <c:pt idx="9">
                  <c:v>AUX DE LIMP/FAXINEIRO/SERV GERAIS 44HR INSALUBRE 40%</c:v>
                </c:pt>
                <c:pt idx="10">
                  <c:v>AUX DE LIMP/FAXINEIRO/SERV GERAIS 12X36 DIA SEM INSAL</c:v>
                </c:pt>
                <c:pt idx="11">
                  <c:v>AUX DE LIMP/FAXINEIRO/SERV GERAIS 12X36 DIA COM 20% INSAL</c:v>
                </c:pt>
                <c:pt idx="12">
                  <c:v>AUX DE LIMP/FAXINEIRO/SERV GERAIS 12X36 DIA COM 40% INSAL</c:v>
                </c:pt>
                <c:pt idx="13">
                  <c:v>AUX DE LIMP/FAXINEIRO/SERV GERAIS 12X36 NOITE SEM INSAL</c:v>
                </c:pt>
                <c:pt idx="14">
                  <c:v>AUX DE LIMP/FAXINEIRO/SERV GERAIS 12X36 NOITE COM 20% INSAL</c:v>
                </c:pt>
                <c:pt idx="15">
                  <c:v>AUX DE LIMP/FAXINEIRO/SERV GERAIS 12X36 NOITE COM 40% INSAL</c:v>
                </c:pt>
                <c:pt idx="16">
                  <c:v>VARREDEIRA/GARI/OPERADOR DE ROÇADEIRA/CARRINHEIRO</c:v>
                </c:pt>
                <c:pt idx="17">
                  <c:v>COLETOR DE LIXO 44 HR</c:v>
                </c:pt>
                <c:pt idx="18">
                  <c:v>AGENTE DE FISCALIZAÇÃO DE RUA 44HR</c:v>
                </c:pt>
                <c:pt idx="19">
                  <c:v>JARDINEIRO 44HR</c:v>
                </c:pt>
                <c:pt idx="20">
                  <c:v>CONTINUO 44 HR</c:v>
                </c:pt>
                <c:pt idx="21">
                  <c:v>TECNICO DE RX/RADIOLOGIA DIA</c:v>
                </c:pt>
                <c:pt idx="22">
                  <c:v>TECNICO DE RX/RADIOLOGIA NOITE</c:v>
                </c:pt>
                <c:pt idx="23">
                  <c:v>TELEFONISTA 36HR</c:v>
                </c:pt>
                <c:pt idx="24">
                  <c:v>MONITOR DE TRANSPORTES/CRECHE/ESCOLA</c:v>
                </c:pt>
                <c:pt idx="25">
                  <c:v>MOTORISTA DE CAMINHAO 44H</c:v>
                </c:pt>
                <c:pt idx="26">
                  <c:v>MOTORISTA DE ÔNIBUS ESCOLAR/MICROONIBUS ESCOLAR</c:v>
                </c:pt>
                <c:pt idx="27">
                  <c:v>MOTORISTA DE CARRO ATE 7 LUGARES</c:v>
                </c:pt>
                <c:pt idx="28">
                  <c:v>MOTORISTA AMBULANCIA 12X36 DIA</c:v>
                </c:pt>
                <c:pt idx="29">
                  <c:v>MOTORISTA AMBULANCIA 12X36 NOITE</c:v>
                </c:pt>
                <c:pt idx="30">
                  <c:v>PORTEIRO 44HR</c:v>
                </c:pt>
                <c:pt idx="31">
                  <c:v>PORTEIRO 12 X 36 DIURNO</c:v>
                </c:pt>
                <c:pt idx="32">
                  <c:v>PORTEIRO 12 X 36 NOTURNO</c:v>
                </c:pt>
                <c:pt idx="33">
                  <c:v>FARMACEUTICO 40HR</c:v>
                </c:pt>
                <c:pt idx="34">
                  <c:v>TECNICO LABORATORIO 44HR</c:v>
                </c:pt>
                <c:pt idx="35">
                  <c:v>TECNICO LABORATORIO 12X36 DIA</c:v>
                </c:pt>
                <c:pt idx="36">
                  <c:v>TECNICO LABORATORIO 12X36 NOITE</c:v>
                </c:pt>
                <c:pt idx="37">
                  <c:v>ENFERMEIRO 12X36 DIA</c:v>
                </c:pt>
                <c:pt idx="38">
                  <c:v>ENFERMEIRO 12X36 NOITE</c:v>
                </c:pt>
                <c:pt idx="39">
                  <c:v>FISIOTERAPEUTA</c:v>
                </c:pt>
                <c:pt idx="40">
                  <c:v>TECNICO DE ENFERMAGEM 12X36 DIA</c:v>
                </c:pt>
                <c:pt idx="41">
                  <c:v>TECNICO DE ENFERMAGEM 12X36 NOITE</c:v>
                </c:pt>
                <c:pt idx="42">
                  <c:v>COZINHEIRO 44 HR</c:v>
                </c:pt>
                <c:pt idx="43">
                  <c:v>COZINHEIRO 12X36 DIURNO</c:v>
                </c:pt>
                <c:pt idx="44">
                  <c:v>AUXILIAR DE SAUDE BUCAL 44HR</c:v>
                </c:pt>
                <c:pt idx="45">
                  <c:v>TECNICO EM SAUDE BUCAL 44HR</c:v>
                </c:pt>
                <c:pt idx="46">
                  <c:v>ATENDENTE DE FARMACIA 44HR</c:v>
                </c:pt>
                <c:pt idx="47">
                  <c:v>MOTORISTA DE COLETA DE LIXO DOMICILAR</c:v>
                </c:pt>
                <c:pt idx="48">
                  <c:v>ROÇADOR/PODADOR</c:v>
                </c:pt>
                <c:pt idx="49">
                  <c:v>SUPERVISOR GERAL</c:v>
                </c:pt>
                <c:pt idx="50">
                  <c:v>ENCARREGADO GERAL</c:v>
                </c:pt>
                <c:pt idx="51">
                  <c:v>ASSISTENTE SOCIAL</c:v>
                </c:pt>
                <c:pt idx="52">
                  <c:v>FARMACEUTICO BIOQUIMICO 12X36 DIA</c:v>
                </c:pt>
                <c:pt idx="53">
                  <c:v>FARMACEUTICO BIOQUIMICO 12X36 NOITE</c:v>
                </c:pt>
                <c:pt idx="54">
                  <c:v>DENTISTA</c:v>
                </c:pt>
                <c:pt idx="55">
                  <c:v>FONOAUDIOLOGO</c:v>
                </c:pt>
                <c:pt idx="56">
                  <c:v>NUTRICIONISTA</c:v>
                </c:pt>
                <c:pt idx="57">
                  <c:v>PSICOLOGO</c:v>
                </c:pt>
                <c:pt idx="58">
                  <c:v>TERAPEUTA OCUPACIONAL</c:v>
                </c:pt>
                <c:pt idx="59">
                  <c:v>MEDICO CLINICO GENERALISTA</c:v>
                </c:pt>
                <c:pt idx="60">
                  <c:v>MEDICO CLINICO GENERALISTA</c:v>
                </c:pt>
                <c:pt idx="61">
                  <c:v>MEDICO PLANTONISTA 12 HORAS</c:v>
                </c:pt>
                <c:pt idx="62">
                  <c:v>MEDICO ESPECIALISTA</c:v>
                </c:pt>
                <c:pt idx="63">
                  <c:v>PEDREIRO</c:v>
                </c:pt>
                <c:pt idx="64">
                  <c:v>AJUDANTE DE OBRAS/SERVENTE</c:v>
                </c:pt>
                <c:pt idx="65">
                  <c:v>BOMBEIRO HIDRAULICO</c:v>
                </c:pt>
                <c:pt idx="66">
                  <c:v>ELETRICISTA</c:v>
                </c:pt>
                <c:pt idx="67">
                  <c:v>PINTOR DE OBRAS</c:v>
                </c:pt>
                <c:pt idx="68">
                  <c:v>MARCENEIRO</c:v>
                </c:pt>
                <c:pt idx="69">
                  <c:v>CALCETEIRO</c:v>
                </c:pt>
                <c:pt idx="70">
                  <c:v>ENGENHEIRO JUNIOR</c:v>
                </c:pt>
                <c:pt idx="71">
                  <c:v>ENGENHEIRO PLENO</c:v>
                </c:pt>
                <c:pt idx="72">
                  <c:v>ENGENHEIRO SENIOR</c:v>
                </c:pt>
                <c:pt idx="73">
                  <c:v>TECNICO INFORMATICA</c:v>
                </c:pt>
              </c:strCache>
            </c:strRef>
          </c:cat>
          <c:val>
            <c:numRef>
              <c:f>'COMPARAÇÃO PMPA'!$C$158:$C$231</c:f>
              <c:numCache>
                <c:formatCode>_-"R$"* #,##0.00_-;\-"R$"* #,##0.00_-;_-"R$"* "-"??_-;_-@_-</c:formatCode>
                <c:ptCount val="74"/>
                <c:pt idx="0">
                  <c:v>4924.4841411127027</c:v>
                </c:pt>
                <c:pt idx="1">
                  <c:v>4604.1425603950574</c:v>
                </c:pt>
                <c:pt idx="2">
                  <c:v>5437.8884274727006</c:v>
                </c:pt>
                <c:pt idx="3">
                  <c:v>5117.5468467550545</c:v>
                </c:pt>
                <c:pt idx="4">
                  <c:v>5739.1221071907466</c:v>
                </c:pt>
                <c:pt idx="5">
                  <c:v>4049.6404721861722</c:v>
                </c:pt>
                <c:pt idx="6">
                  <c:v>3828.6777282564281</c:v>
                </c:pt>
                <c:pt idx="7">
                  <c:v>4009.0882172775896</c:v>
                </c:pt>
                <c:pt idx="8">
                  <c:v>4428.0770394241863</c:v>
                </c:pt>
                <c:pt idx="9">
                  <c:v>4847.0658615707835</c:v>
                </c:pt>
                <c:pt idx="10">
                  <c:v>3688.746941731993</c:v>
                </c:pt>
                <c:pt idx="11">
                  <c:v>4107.7357638785907</c:v>
                </c:pt>
                <c:pt idx="12">
                  <c:v>4526.724586025186</c:v>
                </c:pt>
                <c:pt idx="13">
                  <c:v>4069.7799363818767</c:v>
                </c:pt>
                <c:pt idx="14">
                  <c:v>4558.7949589292948</c:v>
                </c:pt>
                <c:pt idx="15">
                  <c:v>5047.8099814767111</c:v>
                </c:pt>
                <c:pt idx="16">
                  <c:v>4813.9415298790846</c:v>
                </c:pt>
                <c:pt idx="17">
                  <c:v>5024.1507546134781</c:v>
                </c:pt>
                <c:pt idx="18">
                  <c:v>4277.9387877232175</c:v>
                </c:pt>
                <c:pt idx="19">
                  <c:v>4719.6527020285985</c:v>
                </c:pt>
                <c:pt idx="20">
                  <c:v>3978.0289233117987</c:v>
                </c:pt>
                <c:pt idx="21">
                  <c:v>5634.5079175173214</c:v>
                </c:pt>
                <c:pt idx="22">
                  <c:v>6474.3460472912147</c:v>
                </c:pt>
                <c:pt idx="23">
                  <c:v>4665.1315658092617</c:v>
                </c:pt>
                <c:pt idx="24">
                  <c:v>3662.3252005634886</c:v>
                </c:pt>
                <c:pt idx="25">
                  <c:v>5288.9061393787406</c:v>
                </c:pt>
                <c:pt idx="26">
                  <c:v>7426.7387289798635</c:v>
                </c:pt>
                <c:pt idx="27">
                  <c:v>5190.7889325271808</c:v>
                </c:pt>
                <c:pt idx="28">
                  <c:v>8127.6991004514039</c:v>
                </c:pt>
                <c:pt idx="29">
                  <c:v>9179.0673120562733</c:v>
                </c:pt>
                <c:pt idx="30">
                  <c:v>4495.111301569671</c:v>
                </c:pt>
                <c:pt idx="31">
                  <c:v>4167.9971173439153</c:v>
                </c:pt>
                <c:pt idx="32">
                  <c:v>4890.6036049445574</c:v>
                </c:pt>
                <c:pt idx="33">
                  <c:v>9452.9595057152401</c:v>
                </c:pt>
                <c:pt idx="34">
                  <c:v>3800.1020212967842</c:v>
                </c:pt>
                <c:pt idx="35">
                  <c:v>3715.2000711007804</c:v>
                </c:pt>
                <c:pt idx="36">
                  <c:v>4419.2053594796871</c:v>
                </c:pt>
                <c:pt idx="37">
                  <c:v>6023.0546237961762</c:v>
                </c:pt>
                <c:pt idx="38">
                  <c:v>7114.6908823473605</c:v>
                </c:pt>
                <c:pt idx="39">
                  <c:v>4341.003795627752</c:v>
                </c:pt>
                <c:pt idx="40">
                  <c:v>4568.6048307700548</c:v>
                </c:pt>
                <c:pt idx="41">
                  <c:v>5154.8425797198997</c:v>
                </c:pt>
                <c:pt idx="42">
                  <c:v>4528.1649643434303</c:v>
                </c:pt>
                <c:pt idx="43">
                  <c:v>4307.2021965256245</c:v>
                </c:pt>
                <c:pt idx="44">
                  <c:v>4470.7456559167522</c:v>
                </c:pt>
                <c:pt idx="45">
                  <c:v>4656.6003742930388</c:v>
                </c:pt>
                <c:pt idx="46">
                  <c:v>4051.756423777515</c:v>
                </c:pt>
                <c:pt idx="47">
                  <c:v>6373.3980076049138</c:v>
                </c:pt>
                <c:pt idx="48">
                  <c:v>4659.9160265568589</c:v>
                </c:pt>
                <c:pt idx="49">
                  <c:v>5732.5949064922097</c:v>
                </c:pt>
                <c:pt idx="50">
                  <c:v>4799.4300055970707</c:v>
                </c:pt>
                <c:pt idx="51">
                  <c:v>6788.8176182620782</c:v>
                </c:pt>
                <c:pt idx="52">
                  <c:v>6129.8931523538467</c:v>
                </c:pt>
                <c:pt idx="53">
                  <c:v>6895.7078476760053</c:v>
                </c:pt>
                <c:pt idx="54">
                  <c:v>9520.0573183156685</c:v>
                </c:pt>
                <c:pt idx="55">
                  <c:v>6004.99186835398</c:v>
                </c:pt>
                <c:pt idx="56">
                  <c:v>6528.4140588464725</c:v>
                </c:pt>
                <c:pt idx="57">
                  <c:v>6642.66380209822</c:v>
                </c:pt>
                <c:pt idx="58">
                  <c:v>7402.758382794831</c:v>
                </c:pt>
                <c:pt idx="59">
                  <c:v>12189.700336319773</c:v>
                </c:pt>
                <c:pt idx="60">
                  <c:v>22525.803841224486</c:v>
                </c:pt>
                <c:pt idx="61">
                  <c:v>3078.0069899707828</c:v>
                </c:pt>
                <c:pt idx="62">
                  <c:v>17213.722034307808</c:v>
                </c:pt>
                <c:pt idx="63">
                  <c:v>6997.1939878016401</c:v>
                </c:pt>
                <c:pt idx="64">
                  <c:v>5383.4034318478161</c:v>
                </c:pt>
                <c:pt idx="65">
                  <c:v>6997.1939878016401</c:v>
                </c:pt>
                <c:pt idx="66">
                  <c:v>6997.1939878016401</c:v>
                </c:pt>
                <c:pt idx="67">
                  <c:v>6997.1939878016401</c:v>
                </c:pt>
                <c:pt idx="68">
                  <c:v>6997.1939878016401</c:v>
                </c:pt>
                <c:pt idx="69">
                  <c:v>150</c:v>
                </c:pt>
                <c:pt idx="70" formatCode="_(&quot;R$&quot;* #,##0.00_);_(&quot;R$&quot;* \(#,##0.00\);_(&quot;R$&quot;* &quot;-&quot;??_);_(@_)">
                  <c:v>21423.398717929427</c:v>
                </c:pt>
                <c:pt idx="71" formatCode="_(&quot;R$&quot;* #,##0.00_);_(&quot;R$&quot;* \(#,##0.00\);_(&quot;R$&quot;* &quot;-&quot;??_);_(@_)">
                  <c:v>34196.571805940141</c:v>
                </c:pt>
                <c:pt idx="72" formatCode="_(&quot;R$&quot;* #,##0.00_);_(&quot;R$&quot;* \(#,##0.00\);_(&quot;R$&quot;* &quot;-&quot;??_);_(@_)">
                  <c:v>37323.538482791904</c:v>
                </c:pt>
                <c:pt idx="73" formatCode="_(&quot;R$&quot;* #,##0.00_);_(&quot;R$&quot;* \(#,##0.00\);_(&quot;R$&quot;* &quot;-&quot;??_);_(@_)">
                  <c:v>6170.4523213474367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67-4769-A400-AA6AA5F39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778752"/>
        <c:axId val="100780672"/>
      </c:barChart>
      <c:catAx>
        <c:axId val="100778752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525" cap="flat" cmpd="sng"/>
        </c:spPr>
        <c:crossAx val="100780672"/>
        <c:crosses val="autoZero"/>
        <c:auto val="1"/>
        <c:lblAlgn val="ctr"/>
        <c:lblOffset val="100"/>
        <c:noMultiLvlLbl val="0"/>
      </c:catAx>
      <c:valAx>
        <c:axId val="100780672"/>
        <c:scaling>
          <c:orientation val="minMax"/>
        </c:scaling>
        <c:delete val="0"/>
        <c:axPos val="l"/>
        <c:majorGridlines/>
        <c:title>
          <c:overlay val="0"/>
          <c:spPr>
            <a:noFill/>
            <a:ln>
              <a:noFill/>
            </a:ln>
          </c:spPr>
        </c:title>
        <c:numFmt formatCode="_-&quot;R$&quot;* #,##0.00_-;\-&quot;R$&quot;* #,##0.00_-;_-&quot;R$&quot;* &quot;-&quot;??_-;_-@_-" sourceLinked="1"/>
        <c:majorTickMark val="out"/>
        <c:minorTickMark val="none"/>
        <c:tickLblPos val="nextTo"/>
        <c:spPr>
          <a:ln w="9525" cap="flat" cmpd="sng"/>
        </c:spPr>
        <c:crossAx val="100778752"/>
        <c:crosses val="autoZero"/>
        <c:crossBetween val="between"/>
      </c:valAx>
    </c:plotArea>
    <c:legend>
      <c:legendPos val="r"/>
      <c:overlay val="0"/>
      <c:spPr>
        <a:solidFill>
          <a:srgbClr val="FFFF00"/>
        </a:solidFill>
      </c:sp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261936</xdr:colOff>
      <xdr:row>76</xdr:row>
      <xdr:rowOff>28576</xdr:rowOff>
    </xdr:from>
    <xdr:to>
      <xdr:col>19</xdr:col>
      <xdr:colOff>508000</xdr:colOff>
      <xdr:row>227</xdr:row>
      <xdr:rowOff>21167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3.xml"/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4.xml"/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5.xml"/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6.xml"/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7.xml"/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8.xml"/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9.xml"/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0.xml"/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1.xml"/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2.xml"/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3.xml"/><Relationship Id="rId2" Type="http://schemas.openxmlformats.org/officeDocument/2006/relationships/vmlDrawing" Target="../drawings/vmlDrawing53.v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4.xml"/><Relationship Id="rId2" Type="http://schemas.openxmlformats.org/officeDocument/2006/relationships/vmlDrawing" Target="../drawings/vmlDrawing54.v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5.xml"/><Relationship Id="rId2" Type="http://schemas.openxmlformats.org/officeDocument/2006/relationships/vmlDrawing" Target="../drawings/vmlDrawing55.v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6.xml"/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7.xml"/><Relationship Id="rId2" Type="http://schemas.openxmlformats.org/officeDocument/2006/relationships/vmlDrawing" Target="../drawings/vmlDrawing57.v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8.xml"/><Relationship Id="rId2" Type="http://schemas.openxmlformats.org/officeDocument/2006/relationships/vmlDrawing" Target="../drawings/vmlDrawing58.v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9.xml"/><Relationship Id="rId2" Type="http://schemas.openxmlformats.org/officeDocument/2006/relationships/vmlDrawing" Target="../drawings/vmlDrawing59.v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0.xml"/><Relationship Id="rId2" Type="http://schemas.openxmlformats.org/officeDocument/2006/relationships/vmlDrawing" Target="../drawings/vmlDrawing60.v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1.xml"/><Relationship Id="rId2" Type="http://schemas.openxmlformats.org/officeDocument/2006/relationships/vmlDrawing" Target="../drawings/vmlDrawing61.v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62.xml"/><Relationship Id="rId2" Type="http://schemas.openxmlformats.org/officeDocument/2006/relationships/vmlDrawing" Target="../drawings/vmlDrawing62.v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3.xml"/><Relationship Id="rId2" Type="http://schemas.openxmlformats.org/officeDocument/2006/relationships/vmlDrawing" Target="../drawings/vmlDrawing63.v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4.xml"/><Relationship Id="rId2" Type="http://schemas.openxmlformats.org/officeDocument/2006/relationships/vmlDrawing" Target="../drawings/vmlDrawing64.v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5.xml"/><Relationship Id="rId2" Type="http://schemas.openxmlformats.org/officeDocument/2006/relationships/vmlDrawing" Target="../drawings/vmlDrawing65.v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6.xml"/><Relationship Id="rId2" Type="http://schemas.openxmlformats.org/officeDocument/2006/relationships/vmlDrawing" Target="../drawings/vmlDrawing66.v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7.xml"/><Relationship Id="rId2" Type="http://schemas.openxmlformats.org/officeDocument/2006/relationships/vmlDrawing" Target="../drawings/vmlDrawing67.v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8.xml"/><Relationship Id="rId2" Type="http://schemas.openxmlformats.org/officeDocument/2006/relationships/vmlDrawing" Target="../drawings/vmlDrawing68.v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9.xml"/><Relationship Id="rId2" Type="http://schemas.openxmlformats.org/officeDocument/2006/relationships/vmlDrawing" Target="../drawings/vmlDrawing69.v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0.xml"/><Relationship Id="rId2" Type="http://schemas.openxmlformats.org/officeDocument/2006/relationships/vmlDrawing" Target="../drawings/vmlDrawing70.v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comments" Target="../comments71.xml"/><Relationship Id="rId2" Type="http://schemas.openxmlformats.org/officeDocument/2006/relationships/vmlDrawing" Target="../drawings/vmlDrawing71.v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2.xml"/><Relationship Id="rId2" Type="http://schemas.openxmlformats.org/officeDocument/2006/relationships/vmlDrawing" Target="../drawings/vmlDrawing72.vml"/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N1653"/>
  <sheetViews>
    <sheetView zoomScaleSheetLayoutView="90" workbookViewId="0">
      <selection activeCell="F13" sqref="F13"/>
    </sheetView>
  </sheetViews>
  <sheetFormatPr defaultRowHeight="15" x14ac:dyDescent="0.25"/>
  <cols>
    <col min="1" max="1" width="5.28515625" customWidth="1"/>
    <col min="2" max="2" width="60.85546875" customWidth="1"/>
    <col min="3" max="3" width="11.7109375" style="52" customWidth="1"/>
    <col min="4" max="4" width="11.7109375" customWidth="1"/>
    <col min="5" max="5" width="13.5703125" style="105" customWidth="1"/>
    <col min="6" max="6" width="13.85546875" style="94" customWidth="1"/>
    <col min="7" max="7" width="14" style="94" customWidth="1"/>
    <col min="8" max="10" width="13" customWidth="1"/>
    <col min="11" max="11" width="42" customWidth="1"/>
    <col min="12" max="12" width="11" customWidth="1"/>
    <col min="13" max="13" width="14.140625" style="94" customWidth="1"/>
    <col min="16" max="16" width="13.85546875" bestFit="1" customWidth="1"/>
    <col min="17" max="17" width="8.7109375" bestFit="1" customWidth="1"/>
  </cols>
  <sheetData>
    <row r="1" spans="1:14" ht="24.75" customHeight="1" thickBot="1" x14ac:dyDescent="0.3">
      <c r="A1" s="9" t="s">
        <v>313</v>
      </c>
      <c r="B1" s="11" t="s">
        <v>0</v>
      </c>
      <c r="C1" s="3" t="s">
        <v>305</v>
      </c>
      <c r="D1" s="2"/>
      <c r="E1" s="11" t="s">
        <v>304</v>
      </c>
      <c r="F1" s="7" t="s">
        <v>311</v>
      </c>
      <c r="G1" s="5" t="s">
        <v>300</v>
      </c>
      <c r="H1" s="1" t="s">
        <v>312</v>
      </c>
      <c r="I1" s="15"/>
      <c r="J1" s="15"/>
      <c r="K1" s="11" t="s">
        <v>98</v>
      </c>
      <c r="L1" s="223" t="s">
        <v>15</v>
      </c>
      <c r="M1" s="5" t="s">
        <v>303</v>
      </c>
    </row>
    <row r="2" spans="1:14" ht="37.5" customHeight="1" thickBot="1" x14ac:dyDescent="0.3">
      <c r="A2" s="8"/>
      <c r="B2" s="10"/>
      <c r="C2" s="193" t="s">
        <v>309</v>
      </c>
      <c r="D2" s="194" t="s">
        <v>310</v>
      </c>
      <c r="E2" s="10"/>
      <c r="F2" s="6"/>
      <c r="G2" s="4"/>
      <c r="H2" s="193" t="s">
        <v>306</v>
      </c>
      <c r="I2" s="194" t="s">
        <v>307</v>
      </c>
      <c r="J2" s="193" t="s">
        <v>308</v>
      </c>
      <c r="K2" s="10"/>
      <c r="L2" s="224"/>
      <c r="M2" s="4"/>
      <c r="N2" s="34"/>
    </row>
    <row r="3" spans="1:14" x14ac:dyDescent="0.25">
      <c r="A3" s="195">
        <v>1</v>
      </c>
      <c r="B3" s="196" t="s">
        <v>136</v>
      </c>
      <c r="C3" s="197">
        <v>120</v>
      </c>
      <c r="D3" s="197">
        <v>120</v>
      </c>
      <c r="E3" s="198" t="s">
        <v>171</v>
      </c>
      <c r="F3" s="199">
        <v>1589.96</v>
      </c>
      <c r="G3" s="200">
        <f>'COMPARAÇÃO PMPA'!C79</f>
        <v>4924.4841411127027</v>
      </c>
      <c r="H3" s="201"/>
      <c r="I3" s="201"/>
      <c r="J3" s="201"/>
      <c r="K3" s="202" t="s">
        <v>135</v>
      </c>
      <c r="L3" s="203" t="s">
        <v>113</v>
      </c>
      <c r="M3" s="204">
        <f t="shared" ref="M3" si="0">C3*G3</f>
        <v>590938.09693352436</v>
      </c>
    </row>
    <row r="4" spans="1:14" x14ac:dyDescent="0.25">
      <c r="A4" s="205">
        <v>2</v>
      </c>
      <c r="B4" s="97" t="s">
        <v>139</v>
      </c>
      <c r="C4" s="98">
        <v>25</v>
      </c>
      <c r="D4" s="98">
        <v>25</v>
      </c>
      <c r="E4" s="106" t="s">
        <v>120</v>
      </c>
      <c r="F4" s="108">
        <v>1589.96</v>
      </c>
      <c r="G4" s="102">
        <f>'COMPARAÇÃO PMPA'!L3</f>
        <v>4604.1425603950574</v>
      </c>
      <c r="H4" s="99"/>
      <c r="I4" s="99"/>
      <c r="J4" s="99"/>
      <c r="K4" s="100" t="s">
        <v>135</v>
      </c>
      <c r="L4" s="101" t="s">
        <v>113</v>
      </c>
      <c r="M4" s="206">
        <f t="shared" ref="M4:M35" si="1">C4*G4</f>
        <v>115103.56400987644</v>
      </c>
    </row>
    <row r="5" spans="1:14" x14ac:dyDescent="0.25">
      <c r="A5" s="205">
        <v>3</v>
      </c>
      <c r="B5" s="97" t="s">
        <v>143</v>
      </c>
      <c r="C5" s="98">
        <v>60</v>
      </c>
      <c r="D5" s="98">
        <v>60</v>
      </c>
      <c r="E5" s="106" t="s">
        <v>171</v>
      </c>
      <c r="F5" s="108">
        <v>1855.15</v>
      </c>
      <c r="G5" s="102">
        <f>'COMPARAÇÃO PMPA'!L4</f>
        <v>5437.8884274727006</v>
      </c>
      <c r="H5" s="99"/>
      <c r="I5" s="99"/>
      <c r="J5" s="99"/>
      <c r="K5" s="100" t="s">
        <v>135</v>
      </c>
      <c r="L5" s="101" t="s">
        <v>145</v>
      </c>
      <c r="M5" s="206">
        <f t="shared" si="1"/>
        <v>326273.30564836203</v>
      </c>
    </row>
    <row r="6" spans="1:14" x14ac:dyDescent="0.25">
      <c r="A6" s="205">
        <v>4</v>
      </c>
      <c r="B6" s="97" t="s">
        <v>146</v>
      </c>
      <c r="C6" s="98">
        <v>30</v>
      </c>
      <c r="D6" s="98">
        <v>30</v>
      </c>
      <c r="E6" s="106" t="s">
        <v>120</v>
      </c>
      <c r="F6" s="108">
        <v>1855.15</v>
      </c>
      <c r="G6" s="102">
        <f>'COMPARAÇÃO PMPA'!L5</f>
        <v>5117.5468467550545</v>
      </c>
      <c r="H6" s="99"/>
      <c r="I6" s="99"/>
      <c r="J6" s="99"/>
      <c r="K6" s="100" t="s">
        <v>135</v>
      </c>
      <c r="L6" s="101" t="s">
        <v>145</v>
      </c>
      <c r="M6" s="206">
        <f t="shared" si="1"/>
        <v>153526.40540265164</v>
      </c>
    </row>
    <row r="7" spans="1:14" x14ac:dyDescent="0.25">
      <c r="A7" s="205">
        <v>5</v>
      </c>
      <c r="B7" s="97" t="s">
        <v>147</v>
      </c>
      <c r="C7" s="98">
        <v>30</v>
      </c>
      <c r="D7" s="98">
        <v>30</v>
      </c>
      <c r="E7" s="106" t="s">
        <v>120</v>
      </c>
      <c r="F7" s="108">
        <v>1855.15</v>
      </c>
      <c r="G7" s="102">
        <f>'COMPARAÇÃO PMPA'!L6</f>
        <v>5739.1221071907466</v>
      </c>
      <c r="H7" s="99"/>
      <c r="I7" s="99"/>
      <c r="J7" s="99"/>
      <c r="K7" s="100" t="s">
        <v>135</v>
      </c>
      <c r="L7" s="101" t="s">
        <v>145</v>
      </c>
      <c r="M7" s="206">
        <f t="shared" si="1"/>
        <v>172173.66321572239</v>
      </c>
    </row>
    <row r="8" spans="1:14" x14ac:dyDescent="0.25">
      <c r="A8" s="205">
        <v>6</v>
      </c>
      <c r="B8" s="97" t="s">
        <v>152</v>
      </c>
      <c r="C8" s="98">
        <v>150</v>
      </c>
      <c r="D8" s="98">
        <v>150</v>
      </c>
      <c r="E8" s="106" t="s">
        <v>171</v>
      </c>
      <c r="F8" s="108">
        <v>1086.46</v>
      </c>
      <c r="G8" s="102">
        <f>'COMPARAÇÃO PMPA'!L7</f>
        <v>4049.6404721861722</v>
      </c>
      <c r="H8" s="99"/>
      <c r="I8" s="99"/>
      <c r="J8" s="99"/>
      <c r="K8" s="100" t="s">
        <v>153</v>
      </c>
      <c r="L8" s="101" t="s">
        <v>114</v>
      </c>
      <c r="M8" s="206">
        <f t="shared" si="1"/>
        <v>607446.07082792581</v>
      </c>
    </row>
    <row r="9" spans="1:14" x14ac:dyDescent="0.25">
      <c r="A9" s="205">
        <v>7</v>
      </c>
      <c r="B9" s="97" t="s">
        <v>155</v>
      </c>
      <c r="C9" s="98">
        <v>20</v>
      </c>
      <c r="D9" s="98">
        <v>20</v>
      </c>
      <c r="E9" s="106" t="s">
        <v>120</v>
      </c>
      <c r="F9" s="108">
        <v>1086.46</v>
      </c>
      <c r="G9" s="102">
        <f>'COMPARAÇÃO PMPA'!L8</f>
        <v>3828.6777282564281</v>
      </c>
      <c r="H9" s="99"/>
      <c r="I9" s="99"/>
      <c r="J9" s="99"/>
      <c r="K9" s="100" t="s">
        <v>153</v>
      </c>
      <c r="L9" s="101" t="s">
        <v>114</v>
      </c>
      <c r="M9" s="206">
        <f t="shared" si="1"/>
        <v>76573.554565128565</v>
      </c>
    </row>
    <row r="10" spans="1:14" x14ac:dyDescent="0.25">
      <c r="A10" s="205">
        <v>8</v>
      </c>
      <c r="B10" s="97" t="s">
        <v>157</v>
      </c>
      <c r="C10" s="98">
        <v>450</v>
      </c>
      <c r="D10" s="98">
        <v>450</v>
      </c>
      <c r="E10" s="106" t="s">
        <v>171</v>
      </c>
      <c r="F10" s="108">
        <v>1137.23</v>
      </c>
      <c r="G10" s="102">
        <f>'COMPARAÇÃO PMPA'!L9</f>
        <v>4009.0882172775896</v>
      </c>
      <c r="H10" s="99"/>
      <c r="I10" s="99"/>
      <c r="J10" s="99"/>
      <c r="K10" s="100" t="s">
        <v>135</v>
      </c>
      <c r="L10" s="101" t="s">
        <v>115</v>
      </c>
      <c r="M10" s="206">
        <f t="shared" si="1"/>
        <v>1804089.6977749153</v>
      </c>
    </row>
    <row r="11" spans="1:14" x14ac:dyDescent="0.25">
      <c r="A11" s="205">
        <v>9</v>
      </c>
      <c r="B11" s="97" t="s">
        <v>159</v>
      </c>
      <c r="C11" s="98">
        <v>100</v>
      </c>
      <c r="D11" s="98">
        <v>100</v>
      </c>
      <c r="E11" s="106" t="s">
        <v>171</v>
      </c>
      <c r="F11" s="108">
        <v>1137.23</v>
      </c>
      <c r="G11" s="102">
        <f>'COMPARAÇÃO PMPA'!L10</f>
        <v>4428.0770394241863</v>
      </c>
      <c r="H11" s="99"/>
      <c r="I11" s="99"/>
      <c r="J11" s="99"/>
      <c r="K11" s="100" t="s">
        <v>135</v>
      </c>
      <c r="L11" s="101" t="s">
        <v>115</v>
      </c>
      <c r="M11" s="206">
        <f t="shared" si="1"/>
        <v>442807.70394241862</v>
      </c>
    </row>
    <row r="12" spans="1:14" x14ac:dyDescent="0.25">
      <c r="A12" s="205">
        <v>10</v>
      </c>
      <c r="B12" s="97" t="s">
        <v>160</v>
      </c>
      <c r="C12" s="98">
        <v>100</v>
      </c>
      <c r="D12" s="98">
        <v>100</v>
      </c>
      <c r="E12" s="106" t="s">
        <v>171</v>
      </c>
      <c r="F12" s="108">
        <v>1137.23</v>
      </c>
      <c r="G12" s="102">
        <f>'COMPARAÇÃO PMPA'!L11</f>
        <v>4847.0658615707835</v>
      </c>
      <c r="H12" s="99"/>
      <c r="I12" s="99"/>
      <c r="J12" s="99"/>
      <c r="K12" s="100" t="s">
        <v>135</v>
      </c>
      <c r="L12" s="101" t="s">
        <v>115</v>
      </c>
      <c r="M12" s="206">
        <f t="shared" si="1"/>
        <v>484706.58615707833</v>
      </c>
    </row>
    <row r="13" spans="1:14" x14ac:dyDescent="0.25">
      <c r="A13" s="205">
        <v>11</v>
      </c>
      <c r="B13" s="97" t="s">
        <v>163</v>
      </c>
      <c r="C13" s="98">
        <v>18</v>
      </c>
      <c r="D13" s="98">
        <v>18</v>
      </c>
      <c r="E13" s="106" t="s">
        <v>120</v>
      </c>
      <c r="F13" s="108">
        <v>1137.23</v>
      </c>
      <c r="G13" s="102">
        <f>'COMPARAÇÃO PMPA'!L12</f>
        <v>3688.746941731993</v>
      </c>
      <c r="H13" s="99"/>
      <c r="I13" s="99"/>
      <c r="J13" s="99"/>
      <c r="K13" s="100" t="s">
        <v>135</v>
      </c>
      <c r="L13" s="101" t="s">
        <v>115</v>
      </c>
      <c r="M13" s="206">
        <f t="shared" si="1"/>
        <v>66397.444951175872</v>
      </c>
    </row>
    <row r="14" spans="1:14" x14ac:dyDescent="0.25">
      <c r="A14" s="205">
        <v>12</v>
      </c>
      <c r="B14" s="97" t="s">
        <v>164</v>
      </c>
      <c r="C14" s="98">
        <v>50</v>
      </c>
      <c r="D14" s="98">
        <v>50</v>
      </c>
      <c r="E14" s="106" t="s">
        <v>120</v>
      </c>
      <c r="F14" s="108">
        <v>1137.23</v>
      </c>
      <c r="G14" s="102">
        <f>'COMPARAÇÃO PMPA'!L13</f>
        <v>4107.7357638785907</v>
      </c>
      <c r="H14" s="99"/>
      <c r="I14" s="99"/>
      <c r="J14" s="99"/>
      <c r="K14" s="100" t="s">
        <v>135</v>
      </c>
      <c r="L14" s="101" t="s">
        <v>115</v>
      </c>
      <c r="M14" s="206">
        <f t="shared" si="1"/>
        <v>205386.78819392953</v>
      </c>
    </row>
    <row r="15" spans="1:14" x14ac:dyDescent="0.25">
      <c r="A15" s="205">
        <v>13</v>
      </c>
      <c r="B15" s="97" t="s">
        <v>166</v>
      </c>
      <c r="C15" s="98">
        <v>150</v>
      </c>
      <c r="D15" s="98">
        <v>150</v>
      </c>
      <c r="E15" s="106" t="s">
        <v>120</v>
      </c>
      <c r="F15" s="108">
        <v>1137.23</v>
      </c>
      <c r="G15" s="102">
        <f>'COMPARAÇÃO PMPA'!L14</f>
        <v>4526.724586025186</v>
      </c>
      <c r="H15" s="99"/>
      <c r="I15" s="99"/>
      <c r="J15" s="99"/>
      <c r="K15" s="100" t="s">
        <v>135</v>
      </c>
      <c r="L15" s="101" t="s">
        <v>115</v>
      </c>
      <c r="M15" s="206">
        <f t="shared" si="1"/>
        <v>679008.68790377793</v>
      </c>
    </row>
    <row r="16" spans="1:14" x14ac:dyDescent="0.25">
      <c r="A16" s="205">
        <v>14</v>
      </c>
      <c r="B16" s="97" t="s">
        <v>167</v>
      </c>
      <c r="C16" s="98">
        <v>18</v>
      </c>
      <c r="D16" s="98">
        <v>18</v>
      </c>
      <c r="E16" s="106" t="s">
        <v>120</v>
      </c>
      <c r="F16" s="108">
        <v>1137.23</v>
      </c>
      <c r="G16" s="102">
        <f>'COMPARAÇÃO PMPA'!L15</f>
        <v>4069.7799363818767</v>
      </c>
      <c r="H16" s="99"/>
      <c r="I16" s="99"/>
      <c r="J16" s="99"/>
      <c r="K16" s="100" t="s">
        <v>135</v>
      </c>
      <c r="L16" s="101" t="s">
        <v>115</v>
      </c>
      <c r="M16" s="206">
        <f t="shared" si="1"/>
        <v>73256.038854873783</v>
      </c>
    </row>
    <row r="17" spans="1:13" x14ac:dyDescent="0.25">
      <c r="A17" s="205">
        <v>15</v>
      </c>
      <c r="B17" s="97" t="s">
        <v>168</v>
      </c>
      <c r="C17" s="98">
        <v>50</v>
      </c>
      <c r="D17" s="98">
        <v>50</v>
      </c>
      <c r="E17" s="106" t="s">
        <v>120</v>
      </c>
      <c r="F17" s="108">
        <v>1137.23</v>
      </c>
      <c r="G17" s="102">
        <f>'COMPARAÇÃO PMPA'!L16</f>
        <v>4558.7949589292948</v>
      </c>
      <c r="H17" s="99"/>
      <c r="I17" s="99"/>
      <c r="J17" s="99"/>
      <c r="K17" s="100" t="s">
        <v>135</v>
      </c>
      <c r="L17" s="101" t="s">
        <v>115</v>
      </c>
      <c r="M17" s="206">
        <f t="shared" si="1"/>
        <v>227939.74794646475</v>
      </c>
    </row>
    <row r="18" spans="1:13" x14ac:dyDescent="0.25">
      <c r="A18" s="205">
        <v>16</v>
      </c>
      <c r="B18" s="97" t="s">
        <v>169</v>
      </c>
      <c r="C18" s="98">
        <v>150</v>
      </c>
      <c r="D18" s="98">
        <v>150</v>
      </c>
      <c r="E18" s="106" t="s">
        <v>120</v>
      </c>
      <c r="F18" s="108">
        <v>1137.23</v>
      </c>
      <c r="G18" s="102">
        <f>'COMPARAÇÃO PMPA'!L17</f>
        <v>5047.8099814767111</v>
      </c>
      <c r="H18" s="99"/>
      <c r="I18" s="99"/>
      <c r="J18" s="99"/>
      <c r="K18" s="100" t="s">
        <v>135</v>
      </c>
      <c r="L18" s="101" t="s">
        <v>115</v>
      </c>
      <c r="M18" s="206">
        <f t="shared" si="1"/>
        <v>757171.49722150667</v>
      </c>
    </row>
    <row r="19" spans="1:13" x14ac:dyDescent="0.25">
      <c r="A19" s="205">
        <v>17</v>
      </c>
      <c r="B19" s="97" t="s">
        <v>170</v>
      </c>
      <c r="C19" s="98">
        <v>250</v>
      </c>
      <c r="D19" s="98">
        <v>250</v>
      </c>
      <c r="E19" s="106" t="s">
        <v>171</v>
      </c>
      <c r="F19" s="108">
        <v>1079.94</v>
      </c>
      <c r="G19" s="102">
        <f>'COMPARAÇÃO PMPA'!L18</f>
        <v>4813.9415298790846</v>
      </c>
      <c r="H19" s="99"/>
      <c r="I19" s="99"/>
      <c r="J19" s="99"/>
      <c r="K19" s="100" t="s">
        <v>173</v>
      </c>
      <c r="L19" s="101" t="s">
        <v>174</v>
      </c>
      <c r="M19" s="206">
        <f t="shared" si="1"/>
        <v>1203485.3824697712</v>
      </c>
    </row>
    <row r="20" spans="1:13" x14ac:dyDescent="0.25">
      <c r="A20" s="205">
        <v>18</v>
      </c>
      <c r="B20" s="97" t="s">
        <v>177</v>
      </c>
      <c r="C20" s="98">
        <v>150</v>
      </c>
      <c r="D20" s="98">
        <v>150</v>
      </c>
      <c r="E20" s="106" t="s">
        <v>171</v>
      </c>
      <c r="F20" s="108">
        <v>1245.81</v>
      </c>
      <c r="G20" s="102">
        <f>'COMPARAÇÃO PMPA'!L19</f>
        <v>5024.1507546134781</v>
      </c>
      <c r="H20" s="99"/>
      <c r="I20" s="99"/>
      <c r="J20" s="99"/>
      <c r="K20" s="100" t="s">
        <v>173</v>
      </c>
      <c r="L20" s="101" t="s">
        <v>180</v>
      </c>
      <c r="M20" s="206">
        <f t="shared" si="1"/>
        <v>753622.61319202173</v>
      </c>
    </row>
    <row r="21" spans="1:13" x14ac:dyDescent="0.25">
      <c r="A21" s="205">
        <v>19</v>
      </c>
      <c r="B21" s="97" t="s">
        <v>179</v>
      </c>
      <c r="C21" s="98">
        <v>60</v>
      </c>
      <c r="D21" s="98">
        <v>60</v>
      </c>
      <c r="E21" s="106" t="s">
        <v>171</v>
      </c>
      <c r="F21" s="108">
        <v>1293.21</v>
      </c>
      <c r="G21" s="102">
        <f>'COMPARAÇÃO PMPA'!L20</f>
        <v>4277.9387877232175</v>
      </c>
      <c r="H21" s="99"/>
      <c r="I21" s="99"/>
      <c r="J21" s="99"/>
      <c r="K21" s="100" t="s">
        <v>173</v>
      </c>
      <c r="L21" s="101" t="s">
        <v>181</v>
      </c>
      <c r="M21" s="206">
        <f t="shared" si="1"/>
        <v>256676.32726339306</v>
      </c>
    </row>
    <row r="22" spans="1:13" x14ac:dyDescent="0.25">
      <c r="A22" s="205">
        <v>20</v>
      </c>
      <c r="B22" s="97" t="s">
        <v>182</v>
      </c>
      <c r="C22" s="98">
        <v>100</v>
      </c>
      <c r="D22" s="98">
        <v>100</v>
      </c>
      <c r="E22" s="106" t="s">
        <v>171</v>
      </c>
      <c r="F22" s="108">
        <v>1504.26</v>
      </c>
      <c r="G22" s="102">
        <f>'COMPARAÇÃO PMPA'!L21</f>
        <v>4719.6527020285985</v>
      </c>
      <c r="H22" s="99"/>
      <c r="I22" s="99"/>
      <c r="J22" s="99"/>
      <c r="K22" s="100" t="s">
        <v>135</v>
      </c>
      <c r="L22" s="101" t="s">
        <v>183</v>
      </c>
      <c r="M22" s="206">
        <f t="shared" si="1"/>
        <v>471965.27020285983</v>
      </c>
    </row>
    <row r="23" spans="1:13" x14ac:dyDescent="0.25">
      <c r="A23" s="205">
        <v>21</v>
      </c>
      <c r="B23" s="97" t="s">
        <v>187</v>
      </c>
      <c r="C23" s="98">
        <v>50</v>
      </c>
      <c r="D23" s="98">
        <v>50</v>
      </c>
      <c r="E23" s="106" t="s">
        <v>171</v>
      </c>
      <c r="F23" s="108">
        <v>1137.23</v>
      </c>
      <c r="G23" s="102">
        <f>'COMPARAÇÃO PMPA'!L22</f>
        <v>3978.0289233117987</v>
      </c>
      <c r="H23" s="99"/>
      <c r="I23" s="99"/>
      <c r="J23" s="99"/>
      <c r="K23" s="100" t="s">
        <v>135</v>
      </c>
      <c r="L23" s="101" t="s">
        <v>188</v>
      </c>
      <c r="M23" s="206">
        <f t="shared" si="1"/>
        <v>198901.44616558994</v>
      </c>
    </row>
    <row r="24" spans="1:13" x14ac:dyDescent="0.25">
      <c r="A24" s="205">
        <v>22</v>
      </c>
      <c r="B24" s="97" t="s">
        <v>208</v>
      </c>
      <c r="C24" s="98">
        <v>18</v>
      </c>
      <c r="D24" s="98">
        <v>18</v>
      </c>
      <c r="E24" s="106" t="s">
        <v>197</v>
      </c>
      <c r="F24" s="108">
        <v>1691</v>
      </c>
      <c r="G24" s="102">
        <f>'COMPARAÇÃO PMPA'!L23</f>
        <v>5634.5079175173214</v>
      </c>
      <c r="H24" s="99"/>
      <c r="I24" s="99"/>
      <c r="J24" s="99"/>
      <c r="K24" s="100" t="s">
        <v>190</v>
      </c>
      <c r="L24" s="101" t="s">
        <v>189</v>
      </c>
      <c r="M24" s="206">
        <f t="shared" si="1"/>
        <v>101421.14251531179</v>
      </c>
    </row>
    <row r="25" spans="1:13" x14ac:dyDescent="0.25">
      <c r="A25" s="205">
        <v>23</v>
      </c>
      <c r="B25" s="97" t="s">
        <v>209</v>
      </c>
      <c r="C25" s="98">
        <v>18</v>
      </c>
      <c r="D25" s="98">
        <v>18</v>
      </c>
      <c r="E25" s="106" t="s">
        <v>197</v>
      </c>
      <c r="F25" s="108">
        <v>1691</v>
      </c>
      <c r="G25" s="102">
        <f>'COMPARAÇÃO PMPA'!L24</f>
        <v>6474.3460472912147</v>
      </c>
      <c r="H25" s="99"/>
      <c r="I25" s="99"/>
      <c r="J25" s="99"/>
      <c r="K25" s="100" t="s">
        <v>190</v>
      </c>
      <c r="L25" s="101" t="s">
        <v>189</v>
      </c>
      <c r="M25" s="206">
        <f t="shared" si="1"/>
        <v>116538.22885124186</v>
      </c>
    </row>
    <row r="26" spans="1:13" x14ac:dyDescent="0.25">
      <c r="A26" s="205">
        <v>24</v>
      </c>
      <c r="B26" s="97" t="s">
        <v>193</v>
      </c>
      <c r="C26" s="98">
        <v>40</v>
      </c>
      <c r="D26" s="98">
        <v>40</v>
      </c>
      <c r="E26" s="106" t="s">
        <v>194</v>
      </c>
      <c r="F26" s="108">
        <v>1832.78</v>
      </c>
      <c r="G26" s="102">
        <f>'COMPARAÇÃO PMPA'!L25</f>
        <v>4665.1315658092617</v>
      </c>
      <c r="H26" s="99"/>
      <c r="I26" s="99"/>
      <c r="J26" s="99"/>
      <c r="K26" s="100" t="s">
        <v>195</v>
      </c>
      <c r="L26" s="101" t="s">
        <v>196</v>
      </c>
      <c r="M26" s="206">
        <f t="shared" si="1"/>
        <v>186605.26263237046</v>
      </c>
    </row>
    <row r="27" spans="1:13" x14ac:dyDescent="0.25">
      <c r="A27" s="205">
        <v>25</v>
      </c>
      <c r="B27" s="97" t="s">
        <v>291</v>
      </c>
      <c r="C27" s="98">
        <v>400</v>
      </c>
      <c r="D27" s="98">
        <v>400</v>
      </c>
      <c r="E27" s="106" t="s">
        <v>171</v>
      </c>
      <c r="F27" s="108">
        <v>1054</v>
      </c>
      <c r="G27" s="102">
        <f>'COMPARAÇÃO PMPA'!H26</f>
        <v>3662.3252005634886</v>
      </c>
      <c r="H27" s="99"/>
      <c r="I27" s="99"/>
      <c r="J27" s="99"/>
      <c r="K27" s="100" t="s">
        <v>287</v>
      </c>
      <c r="L27" s="101" t="s">
        <v>116</v>
      </c>
      <c r="M27" s="206">
        <f t="shared" si="1"/>
        <v>1464930.0802253955</v>
      </c>
    </row>
    <row r="28" spans="1:13" x14ac:dyDescent="0.25">
      <c r="A28" s="205">
        <v>26</v>
      </c>
      <c r="B28" s="97" t="s">
        <v>299</v>
      </c>
      <c r="C28" s="98">
        <v>18</v>
      </c>
      <c r="D28" s="98">
        <v>18</v>
      </c>
      <c r="E28" s="106" t="s">
        <v>171</v>
      </c>
      <c r="F28" s="108">
        <v>1865.86</v>
      </c>
      <c r="G28" s="102">
        <f>'COMPARAÇÃO PMPA'!L27</f>
        <v>5288.9061393787406</v>
      </c>
      <c r="H28" s="99"/>
      <c r="I28" s="99"/>
      <c r="J28" s="99"/>
      <c r="K28" s="100" t="s">
        <v>201</v>
      </c>
      <c r="L28" s="101" t="s">
        <v>121</v>
      </c>
      <c r="M28" s="206">
        <f t="shared" si="1"/>
        <v>95200.310508817332</v>
      </c>
    </row>
    <row r="29" spans="1:13" x14ac:dyDescent="0.25">
      <c r="A29" s="205">
        <v>27</v>
      </c>
      <c r="B29" s="97" t="s">
        <v>200</v>
      </c>
      <c r="C29" s="98">
        <v>50</v>
      </c>
      <c r="D29" s="98">
        <v>50</v>
      </c>
      <c r="E29" s="106" t="s">
        <v>171</v>
      </c>
      <c r="F29" s="108">
        <v>2719.91</v>
      </c>
      <c r="G29" s="102">
        <f>'COMPARAÇÃO PMPA'!L28</f>
        <v>7426.7387289798635</v>
      </c>
      <c r="H29" s="99"/>
      <c r="I29" s="99"/>
      <c r="J29" s="99"/>
      <c r="K29" s="100" t="s">
        <v>201</v>
      </c>
      <c r="L29" s="101" t="s">
        <v>202</v>
      </c>
      <c r="M29" s="206">
        <f t="shared" si="1"/>
        <v>371336.93644899316</v>
      </c>
    </row>
    <row r="30" spans="1:13" x14ac:dyDescent="0.25">
      <c r="A30" s="205">
        <v>28</v>
      </c>
      <c r="B30" s="97" t="s">
        <v>203</v>
      </c>
      <c r="C30" s="98">
        <v>20</v>
      </c>
      <c r="D30" s="98">
        <v>20</v>
      </c>
      <c r="E30" s="106" t="s">
        <v>171</v>
      </c>
      <c r="F30" s="108">
        <v>1832.02</v>
      </c>
      <c r="G30" s="102">
        <f>'COMPARAÇÃO PMPA'!L29</f>
        <v>5190.7889325271808</v>
      </c>
      <c r="H30" s="99"/>
      <c r="I30" s="99"/>
      <c r="J30" s="99"/>
      <c r="K30" s="100" t="s">
        <v>201</v>
      </c>
      <c r="L30" s="101" t="s">
        <v>122</v>
      </c>
      <c r="M30" s="206">
        <f t="shared" si="1"/>
        <v>103815.77865054362</v>
      </c>
    </row>
    <row r="31" spans="1:13" x14ac:dyDescent="0.25">
      <c r="A31" s="205">
        <v>29</v>
      </c>
      <c r="B31" s="97" t="s">
        <v>204</v>
      </c>
      <c r="C31" s="98">
        <v>30</v>
      </c>
      <c r="D31" s="98">
        <v>30</v>
      </c>
      <c r="E31" s="106" t="s">
        <v>120</v>
      </c>
      <c r="F31" s="108">
        <v>2719.91</v>
      </c>
      <c r="G31" s="102">
        <f>'COMPARAÇÃO PMPA'!L30</f>
        <v>8127.6991004514039</v>
      </c>
      <c r="H31" s="99"/>
      <c r="I31" s="99"/>
      <c r="J31" s="99"/>
      <c r="K31" s="100" t="s">
        <v>201</v>
      </c>
      <c r="L31" s="101" t="s">
        <v>205</v>
      </c>
      <c r="M31" s="206">
        <f t="shared" si="1"/>
        <v>243830.97301354213</v>
      </c>
    </row>
    <row r="32" spans="1:13" x14ac:dyDescent="0.25">
      <c r="A32" s="205">
        <v>30</v>
      </c>
      <c r="B32" s="97" t="s">
        <v>206</v>
      </c>
      <c r="C32" s="98">
        <v>30</v>
      </c>
      <c r="D32" s="98">
        <v>30</v>
      </c>
      <c r="E32" s="106" t="s">
        <v>120</v>
      </c>
      <c r="F32" s="108">
        <v>2719.91</v>
      </c>
      <c r="G32" s="102">
        <f>'COMPARAÇÃO PMPA'!L31</f>
        <v>9179.0673120562733</v>
      </c>
      <c r="H32" s="99"/>
      <c r="I32" s="99"/>
      <c r="J32" s="99"/>
      <c r="K32" s="100" t="s">
        <v>201</v>
      </c>
      <c r="L32" s="101" t="s">
        <v>205</v>
      </c>
      <c r="M32" s="206">
        <f t="shared" si="1"/>
        <v>275372.01936168817</v>
      </c>
    </row>
    <row r="33" spans="1:13" x14ac:dyDescent="0.25">
      <c r="A33" s="205">
        <v>31</v>
      </c>
      <c r="B33" s="97" t="s">
        <v>111</v>
      </c>
      <c r="C33" s="98">
        <v>250</v>
      </c>
      <c r="D33" s="98">
        <v>250</v>
      </c>
      <c r="E33" s="106" t="s">
        <v>171</v>
      </c>
      <c r="F33" s="108">
        <v>1398.79</v>
      </c>
      <c r="G33" s="102">
        <f>'COMPARAÇÃO PMPA'!L32</f>
        <v>4495.111301569671</v>
      </c>
      <c r="H33" s="99"/>
      <c r="I33" s="99"/>
      <c r="J33" s="99"/>
      <c r="K33" s="100" t="s">
        <v>112</v>
      </c>
      <c r="L33" s="101" t="s">
        <v>117</v>
      </c>
      <c r="M33" s="206">
        <f t="shared" si="1"/>
        <v>1123777.8253924178</v>
      </c>
    </row>
    <row r="34" spans="1:13" x14ac:dyDescent="0.25">
      <c r="A34" s="205">
        <v>32</v>
      </c>
      <c r="B34" s="97" t="s">
        <v>185</v>
      </c>
      <c r="C34" s="98">
        <v>50</v>
      </c>
      <c r="D34" s="98">
        <v>50</v>
      </c>
      <c r="E34" s="106" t="s">
        <v>120</v>
      </c>
      <c r="F34" s="108">
        <v>1398.79</v>
      </c>
      <c r="G34" s="102">
        <f>'COMPARAÇÃO PMPA'!L33</f>
        <v>4167.9971173439153</v>
      </c>
      <c r="H34" s="99"/>
      <c r="I34" s="99"/>
      <c r="J34" s="99"/>
      <c r="K34" s="100" t="s">
        <v>112</v>
      </c>
      <c r="L34" s="101" t="s">
        <v>117</v>
      </c>
      <c r="M34" s="206">
        <f t="shared" si="1"/>
        <v>208399.85586719576</v>
      </c>
    </row>
    <row r="35" spans="1:13" x14ac:dyDescent="0.25">
      <c r="A35" s="205">
        <v>33</v>
      </c>
      <c r="B35" s="97" t="s">
        <v>186</v>
      </c>
      <c r="C35" s="98">
        <v>50</v>
      </c>
      <c r="D35" s="98">
        <v>50</v>
      </c>
      <c r="E35" s="106" t="s">
        <v>120</v>
      </c>
      <c r="F35" s="108">
        <v>1398.79</v>
      </c>
      <c r="G35" s="102">
        <f>'COMPARAÇÃO PMPA'!L34</f>
        <v>4890.6036049445574</v>
      </c>
      <c r="H35" s="99"/>
      <c r="I35" s="99"/>
      <c r="J35" s="99"/>
      <c r="K35" s="100" t="s">
        <v>112</v>
      </c>
      <c r="L35" s="101" t="s">
        <v>117</v>
      </c>
      <c r="M35" s="206">
        <f t="shared" si="1"/>
        <v>244530.18024722787</v>
      </c>
    </row>
    <row r="36" spans="1:13" x14ac:dyDescent="0.25">
      <c r="A36" s="205">
        <v>34</v>
      </c>
      <c r="B36" s="97" t="s">
        <v>210</v>
      </c>
      <c r="C36" s="98">
        <v>18</v>
      </c>
      <c r="D36" s="98">
        <v>18</v>
      </c>
      <c r="E36" s="106" t="s">
        <v>211</v>
      </c>
      <c r="F36" s="108">
        <v>4314.76</v>
      </c>
      <c r="G36" s="102">
        <f>'COMPARAÇÃO PMPA'!L35</f>
        <v>9452.9595057152401</v>
      </c>
      <c r="H36" s="99"/>
      <c r="I36" s="99"/>
      <c r="J36" s="99"/>
      <c r="K36" s="100" t="s">
        <v>212</v>
      </c>
      <c r="L36" s="101" t="s">
        <v>213</v>
      </c>
      <c r="M36" s="206">
        <f t="shared" ref="M36:M71" si="2">C36*G36</f>
        <v>170153.27110287431</v>
      </c>
    </row>
    <row r="37" spans="1:13" x14ac:dyDescent="0.25">
      <c r="A37" s="205">
        <v>35</v>
      </c>
      <c r="B37" s="97" t="s">
        <v>215</v>
      </c>
      <c r="C37" s="98">
        <v>18</v>
      </c>
      <c r="D37" s="98">
        <v>18</v>
      </c>
      <c r="E37" s="106" t="s">
        <v>171</v>
      </c>
      <c r="F37" s="108">
        <v>1252.6400000000001</v>
      </c>
      <c r="G37" s="102">
        <f>'COMPARAÇÃO PMPA'!L36</f>
        <v>3800.1020212967842</v>
      </c>
      <c r="H37" s="99"/>
      <c r="I37" s="99"/>
      <c r="J37" s="99"/>
      <c r="K37" s="100" t="s">
        <v>216</v>
      </c>
      <c r="L37" s="101" t="s">
        <v>217</v>
      </c>
      <c r="M37" s="206">
        <f t="shared" si="2"/>
        <v>68401.836383342117</v>
      </c>
    </row>
    <row r="38" spans="1:13" x14ac:dyDescent="0.25">
      <c r="A38" s="205">
        <v>36</v>
      </c>
      <c r="B38" s="97" t="s">
        <v>218</v>
      </c>
      <c r="C38" s="98">
        <v>18</v>
      </c>
      <c r="D38" s="98">
        <v>18</v>
      </c>
      <c r="E38" s="106" t="s">
        <v>120</v>
      </c>
      <c r="F38" s="108">
        <v>1252.6400000000001</v>
      </c>
      <c r="G38" s="102">
        <f>'COMPARAÇÃO PMPA'!L37</f>
        <v>3715.2000711007804</v>
      </c>
      <c r="H38" s="99"/>
      <c r="I38" s="99"/>
      <c r="J38" s="99"/>
      <c r="K38" s="100" t="s">
        <v>216</v>
      </c>
      <c r="L38" s="101" t="s">
        <v>217</v>
      </c>
      <c r="M38" s="206">
        <f t="shared" si="2"/>
        <v>66873.601279814044</v>
      </c>
    </row>
    <row r="39" spans="1:13" x14ac:dyDescent="0.25">
      <c r="A39" s="205">
        <v>37</v>
      </c>
      <c r="B39" s="97" t="s">
        <v>219</v>
      </c>
      <c r="C39" s="98">
        <v>18</v>
      </c>
      <c r="D39" s="98">
        <v>18</v>
      </c>
      <c r="E39" s="106" t="s">
        <v>120</v>
      </c>
      <c r="F39" s="108">
        <v>1252.6400000000001</v>
      </c>
      <c r="G39" s="102">
        <f>'COMPARAÇÃO PMPA'!L38</f>
        <v>4419.2053594796871</v>
      </c>
      <c r="H39" s="99"/>
      <c r="I39" s="99"/>
      <c r="J39" s="99"/>
      <c r="K39" s="100" t="s">
        <v>216</v>
      </c>
      <c r="L39" s="101" t="s">
        <v>217</v>
      </c>
      <c r="M39" s="206">
        <f t="shared" si="2"/>
        <v>79545.696470634372</v>
      </c>
    </row>
    <row r="40" spans="1:13" x14ac:dyDescent="0.25">
      <c r="A40" s="205">
        <v>38</v>
      </c>
      <c r="B40" s="97" t="s">
        <v>220</v>
      </c>
      <c r="C40" s="98">
        <v>18</v>
      </c>
      <c r="D40" s="98">
        <v>18</v>
      </c>
      <c r="E40" s="106" t="s">
        <v>120</v>
      </c>
      <c r="F40" s="108">
        <v>2079.8000000000002</v>
      </c>
      <c r="G40" s="102">
        <f>'COMPARAÇÃO PMPA'!L39</f>
        <v>6023.0546237961762</v>
      </c>
      <c r="H40" s="99"/>
      <c r="I40" s="99"/>
      <c r="J40" s="99"/>
      <c r="K40" s="100" t="s">
        <v>221</v>
      </c>
      <c r="L40" s="101" t="s">
        <v>222</v>
      </c>
      <c r="M40" s="206">
        <f t="shared" si="2"/>
        <v>108414.98322833117</v>
      </c>
    </row>
    <row r="41" spans="1:13" x14ac:dyDescent="0.25">
      <c r="A41" s="205">
        <v>39</v>
      </c>
      <c r="B41" s="97" t="s">
        <v>223</v>
      </c>
      <c r="C41" s="98">
        <v>18</v>
      </c>
      <c r="D41" s="98">
        <v>18</v>
      </c>
      <c r="E41" s="106" t="s">
        <v>120</v>
      </c>
      <c r="F41" s="108">
        <v>2079.8000000000002</v>
      </c>
      <c r="G41" s="102">
        <f>'COMPARAÇÃO PMPA'!L40</f>
        <v>7114.6908823473605</v>
      </c>
      <c r="H41" s="99"/>
      <c r="I41" s="99"/>
      <c r="J41" s="99"/>
      <c r="K41" s="100" t="s">
        <v>221</v>
      </c>
      <c r="L41" s="101" t="s">
        <v>222</v>
      </c>
      <c r="M41" s="206">
        <f t="shared" si="2"/>
        <v>128064.4358822525</v>
      </c>
    </row>
    <row r="42" spans="1:13" x14ac:dyDescent="0.25">
      <c r="A42" s="205">
        <v>40</v>
      </c>
      <c r="B42" s="97" t="s">
        <v>224</v>
      </c>
      <c r="C42" s="98">
        <v>18</v>
      </c>
      <c r="D42" s="98">
        <v>18</v>
      </c>
      <c r="E42" s="106" t="s">
        <v>225</v>
      </c>
      <c r="F42" s="108">
        <v>1399.69</v>
      </c>
      <c r="G42" s="102">
        <f>'COMPARAÇÃO PMPA'!L41</f>
        <v>4341.003795627752</v>
      </c>
      <c r="H42" s="99"/>
      <c r="I42" s="99"/>
      <c r="J42" s="99"/>
      <c r="K42" s="100" t="s">
        <v>226</v>
      </c>
      <c r="L42" s="101" t="s">
        <v>227</v>
      </c>
      <c r="M42" s="206">
        <f t="shared" si="2"/>
        <v>78138.068321299535</v>
      </c>
    </row>
    <row r="43" spans="1:13" x14ac:dyDescent="0.25">
      <c r="A43" s="205">
        <v>41</v>
      </c>
      <c r="B43" s="97" t="s">
        <v>228</v>
      </c>
      <c r="C43" s="98">
        <v>40</v>
      </c>
      <c r="D43" s="98">
        <v>40</v>
      </c>
      <c r="E43" s="106" t="s">
        <v>120</v>
      </c>
      <c r="F43" s="108">
        <v>1222</v>
      </c>
      <c r="G43" s="102">
        <f>'COMPARAÇÃO PMPA'!L42</f>
        <v>4568.6048307700548</v>
      </c>
      <c r="H43" s="99"/>
      <c r="I43" s="99"/>
      <c r="J43" s="99"/>
      <c r="K43" s="100" t="s">
        <v>229</v>
      </c>
      <c r="L43" s="101" t="s">
        <v>230</v>
      </c>
      <c r="M43" s="206">
        <f t="shared" si="2"/>
        <v>182744.19323080219</v>
      </c>
    </row>
    <row r="44" spans="1:13" x14ac:dyDescent="0.25">
      <c r="A44" s="205">
        <v>42</v>
      </c>
      <c r="B44" s="97" t="s">
        <v>231</v>
      </c>
      <c r="C44" s="98">
        <v>40</v>
      </c>
      <c r="D44" s="98">
        <v>40</v>
      </c>
      <c r="E44" s="106" t="s">
        <v>120</v>
      </c>
      <c r="F44" s="108">
        <v>1222</v>
      </c>
      <c r="G44" s="102">
        <f>'COMPARAÇÃO PMPA'!L43</f>
        <v>5154.8425797198997</v>
      </c>
      <c r="H44" s="99"/>
      <c r="I44" s="99"/>
      <c r="J44" s="99"/>
      <c r="K44" s="100" t="s">
        <v>229</v>
      </c>
      <c r="L44" s="101" t="s">
        <v>230</v>
      </c>
      <c r="M44" s="206">
        <f t="shared" si="2"/>
        <v>206193.703188796</v>
      </c>
    </row>
    <row r="45" spans="1:13" x14ac:dyDescent="0.25">
      <c r="A45" s="205">
        <v>43</v>
      </c>
      <c r="B45" s="97" t="s">
        <v>154</v>
      </c>
      <c r="C45" s="98">
        <v>150</v>
      </c>
      <c r="D45" s="98">
        <v>150</v>
      </c>
      <c r="E45" s="106" t="s">
        <v>171</v>
      </c>
      <c r="F45" s="108">
        <v>1350</v>
      </c>
      <c r="G45" s="102">
        <f>'COMPARAÇÃO PMPA'!L44</f>
        <v>4528.1649643434303</v>
      </c>
      <c r="H45" s="99"/>
      <c r="I45" s="99"/>
      <c r="J45" s="99"/>
      <c r="K45" s="100" t="s">
        <v>153</v>
      </c>
      <c r="L45" s="101" t="s">
        <v>134</v>
      </c>
      <c r="M45" s="206">
        <f t="shared" si="2"/>
        <v>679224.74465151457</v>
      </c>
    </row>
    <row r="46" spans="1:13" x14ac:dyDescent="0.25">
      <c r="A46" s="205">
        <v>44</v>
      </c>
      <c r="B46" s="97" t="s">
        <v>156</v>
      </c>
      <c r="C46" s="98">
        <v>18</v>
      </c>
      <c r="D46" s="98">
        <v>18</v>
      </c>
      <c r="E46" s="106" t="s">
        <v>120</v>
      </c>
      <c r="F46" s="108">
        <v>1350</v>
      </c>
      <c r="G46" s="102">
        <f>'COMPARAÇÃO PMPA'!L45</f>
        <v>4307.2021965256245</v>
      </c>
      <c r="H46" s="99"/>
      <c r="I46" s="99"/>
      <c r="J46" s="99"/>
      <c r="K46" s="100" t="s">
        <v>153</v>
      </c>
      <c r="L46" s="101" t="s">
        <v>134</v>
      </c>
      <c r="M46" s="206">
        <f t="shared" si="2"/>
        <v>77529.639537461248</v>
      </c>
    </row>
    <row r="47" spans="1:13" x14ac:dyDescent="0.25">
      <c r="A47" s="205">
        <v>45</v>
      </c>
      <c r="B47" s="97" t="s">
        <v>232</v>
      </c>
      <c r="C47" s="98">
        <v>18</v>
      </c>
      <c r="D47" s="98">
        <v>18</v>
      </c>
      <c r="E47" s="106" t="s">
        <v>171</v>
      </c>
      <c r="F47" s="108">
        <v>1126</v>
      </c>
      <c r="G47" s="102">
        <f>'COMPARAÇÃO PMPA'!L46</f>
        <v>4470.7456559167522</v>
      </c>
      <c r="H47" s="99"/>
      <c r="I47" s="99"/>
      <c r="J47" s="99"/>
      <c r="K47" s="100" t="s">
        <v>229</v>
      </c>
      <c r="L47" s="101" t="s">
        <v>233</v>
      </c>
      <c r="M47" s="206">
        <f t="shared" si="2"/>
        <v>80473.421806501545</v>
      </c>
    </row>
    <row r="48" spans="1:13" x14ac:dyDescent="0.25">
      <c r="A48" s="205">
        <v>46</v>
      </c>
      <c r="B48" s="97" t="s">
        <v>234</v>
      </c>
      <c r="C48" s="98">
        <v>18</v>
      </c>
      <c r="D48" s="98">
        <v>18</v>
      </c>
      <c r="E48" s="106" t="s">
        <v>235</v>
      </c>
      <c r="F48" s="108">
        <v>1222</v>
      </c>
      <c r="G48" s="102">
        <f>'COMPARAÇÃO PMPA'!L47</f>
        <v>4656.6003742930388</v>
      </c>
      <c r="H48" s="99"/>
      <c r="I48" s="99"/>
      <c r="J48" s="99"/>
      <c r="K48" s="100" t="s">
        <v>229</v>
      </c>
      <c r="L48" s="101" t="s">
        <v>236</v>
      </c>
      <c r="M48" s="206">
        <f t="shared" si="2"/>
        <v>83818.806737274703</v>
      </c>
    </row>
    <row r="49" spans="1:13" x14ac:dyDescent="0.25">
      <c r="A49" s="205">
        <v>47</v>
      </c>
      <c r="B49" s="97" t="s">
        <v>237</v>
      </c>
      <c r="C49" s="98">
        <v>30</v>
      </c>
      <c r="D49" s="98">
        <v>30</v>
      </c>
      <c r="E49" s="106" t="s">
        <v>171</v>
      </c>
      <c r="F49" s="108">
        <v>1222</v>
      </c>
      <c r="G49" s="102">
        <f>'COMPARAÇÃO PMPA'!L48</f>
        <v>4051.756423777515</v>
      </c>
      <c r="H49" s="99"/>
      <c r="I49" s="99"/>
      <c r="J49" s="99"/>
      <c r="K49" s="100" t="s">
        <v>229</v>
      </c>
      <c r="L49" s="101" t="s">
        <v>238</v>
      </c>
      <c r="M49" s="206">
        <f t="shared" si="2"/>
        <v>121552.69271332545</v>
      </c>
    </row>
    <row r="50" spans="1:13" x14ac:dyDescent="0.25">
      <c r="A50" s="205">
        <v>48</v>
      </c>
      <c r="B50" s="97" t="s">
        <v>240</v>
      </c>
      <c r="C50" s="98">
        <v>40</v>
      </c>
      <c r="D50" s="98">
        <v>40</v>
      </c>
      <c r="E50" s="106" t="s">
        <v>171</v>
      </c>
      <c r="F50" s="108">
        <v>1733.23</v>
      </c>
      <c r="G50" s="102">
        <f>'COMPARAÇÃO PMPA'!L49</f>
        <v>6373.3980076049138</v>
      </c>
      <c r="H50" s="99"/>
      <c r="I50" s="99"/>
      <c r="J50" s="99"/>
      <c r="K50" s="100" t="s">
        <v>241</v>
      </c>
      <c r="L50" s="101" t="s">
        <v>180</v>
      </c>
      <c r="M50" s="206">
        <f t="shared" si="2"/>
        <v>254935.92030419654</v>
      </c>
    </row>
    <row r="51" spans="1:13" x14ac:dyDescent="0.25">
      <c r="A51" s="205">
        <v>49</v>
      </c>
      <c r="B51" s="97" t="s">
        <v>243</v>
      </c>
      <c r="C51" s="98">
        <v>130</v>
      </c>
      <c r="D51" s="98">
        <v>130</v>
      </c>
      <c r="E51" s="106" t="s">
        <v>171</v>
      </c>
      <c r="F51" s="108">
        <v>1079.94</v>
      </c>
      <c r="G51" s="102">
        <f>'COMPARAÇÃO PMPA'!L50</f>
        <v>4659.9160265568589</v>
      </c>
      <c r="H51" s="99"/>
      <c r="I51" s="99"/>
      <c r="J51" s="99"/>
      <c r="K51" s="100" t="s">
        <v>173</v>
      </c>
      <c r="L51" s="101" t="s">
        <v>244</v>
      </c>
      <c r="M51" s="206">
        <f t="shared" si="2"/>
        <v>605789.08345239167</v>
      </c>
    </row>
    <row r="52" spans="1:13" x14ac:dyDescent="0.25">
      <c r="A52" s="205">
        <v>50</v>
      </c>
      <c r="B52" s="97" t="s">
        <v>245</v>
      </c>
      <c r="C52" s="98">
        <v>18</v>
      </c>
      <c r="D52" s="98">
        <v>18</v>
      </c>
      <c r="E52" s="106" t="s">
        <v>171</v>
      </c>
      <c r="F52" s="108">
        <v>2096.15</v>
      </c>
      <c r="G52" s="102">
        <f>'COMPARAÇÃO PMPA'!L51</f>
        <v>5732.5949064922097</v>
      </c>
      <c r="H52" s="99"/>
      <c r="I52" s="99"/>
      <c r="J52" s="99"/>
      <c r="K52" s="100" t="s">
        <v>135</v>
      </c>
      <c r="L52" s="101" t="s">
        <v>247</v>
      </c>
      <c r="M52" s="206">
        <f t="shared" si="2"/>
        <v>103186.70831685977</v>
      </c>
    </row>
    <row r="53" spans="1:13" x14ac:dyDescent="0.25">
      <c r="A53" s="205">
        <v>51</v>
      </c>
      <c r="B53" s="97" t="s">
        <v>248</v>
      </c>
      <c r="C53" s="98">
        <v>18</v>
      </c>
      <c r="D53" s="98">
        <v>18</v>
      </c>
      <c r="E53" s="106" t="s">
        <v>171</v>
      </c>
      <c r="F53" s="108">
        <v>1614.14</v>
      </c>
      <c r="G53" s="102">
        <f>'COMPARAÇÃO PMPA'!L52</f>
        <v>4799.4300055970707</v>
      </c>
      <c r="H53" s="99"/>
      <c r="I53" s="99"/>
      <c r="J53" s="99"/>
      <c r="K53" s="100" t="s">
        <v>135</v>
      </c>
      <c r="L53" s="101" t="s">
        <v>250</v>
      </c>
      <c r="M53" s="206">
        <f t="shared" si="2"/>
        <v>86389.740100747265</v>
      </c>
    </row>
    <row r="54" spans="1:13" x14ac:dyDescent="0.25">
      <c r="A54" s="205">
        <v>52</v>
      </c>
      <c r="B54" s="97" t="s">
        <v>251</v>
      </c>
      <c r="C54" s="98">
        <v>18</v>
      </c>
      <c r="D54" s="98">
        <v>18</v>
      </c>
      <c r="E54" s="106" t="s">
        <v>225</v>
      </c>
      <c r="F54" s="108">
        <v>2990.48</v>
      </c>
      <c r="G54" s="102">
        <f>'COMPARAÇÃO PMPA'!L53</f>
        <v>6788.8176182620782</v>
      </c>
      <c r="H54" s="99"/>
      <c r="I54" s="99"/>
      <c r="J54" s="99"/>
      <c r="K54" s="100" t="s">
        <v>252</v>
      </c>
      <c r="L54" s="101" t="s">
        <v>253</v>
      </c>
      <c r="M54" s="206">
        <f t="shared" si="2"/>
        <v>122198.71712871741</v>
      </c>
    </row>
    <row r="55" spans="1:13" x14ac:dyDescent="0.25">
      <c r="A55" s="205">
        <v>53</v>
      </c>
      <c r="B55" s="97" t="s">
        <v>255</v>
      </c>
      <c r="C55" s="98">
        <v>18</v>
      </c>
      <c r="D55" s="98">
        <v>18</v>
      </c>
      <c r="E55" s="106" t="s">
        <v>120</v>
      </c>
      <c r="F55" s="108">
        <f>'COMPARAÇÃO PMPA'!G54</f>
        <v>2133.1</v>
      </c>
      <c r="G55" s="102">
        <f>'COMPARAÇÃO PMPA'!L54</f>
        <v>6129.8931523538467</v>
      </c>
      <c r="H55" s="99"/>
      <c r="I55" s="99"/>
      <c r="J55" s="99"/>
      <c r="K55" s="100" t="s">
        <v>252</v>
      </c>
      <c r="L55" s="101" t="s">
        <v>254</v>
      </c>
      <c r="M55" s="206">
        <f t="shared" si="2"/>
        <v>110338.07674236925</v>
      </c>
    </row>
    <row r="56" spans="1:13" x14ac:dyDescent="0.25">
      <c r="A56" s="205">
        <v>54</v>
      </c>
      <c r="B56" s="97" t="s">
        <v>256</v>
      </c>
      <c r="C56" s="98">
        <v>18</v>
      </c>
      <c r="D56" s="98">
        <v>18</v>
      </c>
      <c r="E56" s="106" t="s">
        <v>120</v>
      </c>
      <c r="F56" s="108">
        <v>2133.1</v>
      </c>
      <c r="G56" s="102">
        <f>'COMPARAÇÃO PMPA'!L55</f>
        <v>6895.7078476760053</v>
      </c>
      <c r="H56" s="99"/>
      <c r="I56" s="99"/>
      <c r="J56" s="99"/>
      <c r="K56" s="100" t="s">
        <v>252</v>
      </c>
      <c r="L56" s="101" t="s">
        <v>254</v>
      </c>
      <c r="M56" s="206">
        <f t="shared" si="2"/>
        <v>124122.7412581681</v>
      </c>
    </row>
    <row r="57" spans="1:13" x14ac:dyDescent="0.25">
      <c r="A57" s="205">
        <v>55</v>
      </c>
      <c r="B57" s="97" t="s">
        <v>257</v>
      </c>
      <c r="C57" s="98">
        <v>18</v>
      </c>
      <c r="D57" s="98">
        <v>18</v>
      </c>
      <c r="E57" s="106" t="s">
        <v>225</v>
      </c>
      <c r="F57" s="108">
        <v>3824.18</v>
      </c>
      <c r="G57" s="102">
        <f>'COMPARAÇÃO PMPA'!L56</f>
        <v>9520.0573183156685</v>
      </c>
      <c r="H57" s="99"/>
      <c r="I57" s="99"/>
      <c r="J57" s="99"/>
      <c r="K57" s="100" t="s">
        <v>252</v>
      </c>
      <c r="L57" s="101" t="s">
        <v>258</v>
      </c>
      <c r="M57" s="206">
        <f t="shared" si="2"/>
        <v>171361.03172968203</v>
      </c>
    </row>
    <row r="58" spans="1:13" x14ac:dyDescent="0.25">
      <c r="A58" s="205">
        <v>56</v>
      </c>
      <c r="B58" s="97" t="s">
        <v>259</v>
      </c>
      <c r="C58" s="98">
        <v>18</v>
      </c>
      <c r="D58" s="98">
        <v>18</v>
      </c>
      <c r="E58" s="106" t="s">
        <v>225</v>
      </c>
      <c r="F58" s="108">
        <f>'COMPARAÇÃO PMPA'!G57</f>
        <v>2070.4699999999998</v>
      </c>
      <c r="G58" s="102">
        <f>'COMPARAÇÃO PMPA'!L57</f>
        <v>6004.99186835398</v>
      </c>
      <c r="H58" s="99"/>
      <c r="I58" s="99"/>
      <c r="J58" s="99"/>
      <c r="K58" s="100" t="s">
        <v>252</v>
      </c>
      <c r="L58" s="101" t="s">
        <v>261</v>
      </c>
      <c r="M58" s="206">
        <f t="shared" si="2"/>
        <v>108089.85363037164</v>
      </c>
    </row>
    <row r="59" spans="1:13" x14ac:dyDescent="0.25">
      <c r="A59" s="205">
        <v>57</v>
      </c>
      <c r="B59" s="97" t="s">
        <v>260</v>
      </c>
      <c r="C59" s="98">
        <v>18</v>
      </c>
      <c r="D59" s="98">
        <v>18</v>
      </c>
      <c r="E59" s="106" t="s">
        <v>211</v>
      </c>
      <c r="F59" s="108">
        <f>'COMPARAÇÃO PMPA'!G58</f>
        <v>2331.89</v>
      </c>
      <c r="G59" s="102">
        <f>'COMPARAÇÃO PMPA'!L58</f>
        <v>6528.4140588464725</v>
      </c>
      <c r="H59" s="99"/>
      <c r="I59" s="99"/>
      <c r="J59" s="99"/>
      <c r="K59" s="100" t="s">
        <v>252</v>
      </c>
      <c r="L59" s="101" t="s">
        <v>262</v>
      </c>
      <c r="M59" s="206">
        <f t="shared" si="2"/>
        <v>117511.4530592365</v>
      </c>
    </row>
    <row r="60" spans="1:13" x14ac:dyDescent="0.25">
      <c r="A60" s="205">
        <v>58</v>
      </c>
      <c r="B60" s="97" t="s">
        <v>263</v>
      </c>
      <c r="C60" s="98">
        <v>18</v>
      </c>
      <c r="D60" s="98">
        <v>18</v>
      </c>
      <c r="E60" s="106" t="s">
        <v>225</v>
      </c>
      <c r="F60" s="108">
        <f>'COMPARAÇÃO PMPA'!G59</f>
        <v>2388.88</v>
      </c>
      <c r="G60" s="102">
        <f>'COMPARAÇÃO PMPA'!L59</f>
        <v>6642.66380209822</v>
      </c>
      <c r="H60" s="99"/>
      <c r="I60" s="99"/>
      <c r="J60" s="99"/>
      <c r="K60" s="100" t="s">
        <v>252</v>
      </c>
      <c r="L60" s="101" t="s">
        <v>264</v>
      </c>
      <c r="M60" s="206">
        <f t="shared" si="2"/>
        <v>119567.94843776796</v>
      </c>
    </row>
    <row r="61" spans="1:13" x14ac:dyDescent="0.25">
      <c r="A61" s="205">
        <v>59</v>
      </c>
      <c r="B61" s="97" t="s">
        <v>265</v>
      </c>
      <c r="C61" s="98">
        <v>18</v>
      </c>
      <c r="D61" s="98">
        <v>18</v>
      </c>
      <c r="E61" s="106" t="s">
        <v>225</v>
      </c>
      <c r="F61" s="108">
        <f>'COMPARAÇÃO PMPA'!G60</f>
        <v>2768.03</v>
      </c>
      <c r="G61" s="102">
        <f>'COMPARAÇÃO PMPA'!L60</f>
        <v>7402.758382794831</v>
      </c>
      <c r="H61" s="99"/>
      <c r="I61" s="99"/>
      <c r="J61" s="99"/>
      <c r="K61" s="100" t="s">
        <v>252</v>
      </c>
      <c r="L61" s="101" t="s">
        <v>266</v>
      </c>
      <c r="M61" s="206">
        <f t="shared" si="2"/>
        <v>133249.65089030695</v>
      </c>
    </row>
    <row r="62" spans="1:13" x14ac:dyDescent="0.25">
      <c r="A62" s="205">
        <v>60</v>
      </c>
      <c r="B62" s="97" t="s">
        <v>267</v>
      </c>
      <c r="C62" s="98">
        <v>60</v>
      </c>
      <c r="D62" s="98">
        <v>60</v>
      </c>
      <c r="E62" s="106" t="s">
        <v>268</v>
      </c>
      <c r="F62" s="108">
        <f>'COMPARAÇÃO PMPA'!G61</f>
        <v>5155.8500000000004</v>
      </c>
      <c r="G62" s="102">
        <f>'COMPARAÇÃO PMPA'!L61</f>
        <v>12189.700336319773</v>
      </c>
      <c r="H62" s="99"/>
      <c r="I62" s="99"/>
      <c r="J62" s="99"/>
      <c r="K62" s="100" t="s">
        <v>252</v>
      </c>
      <c r="L62" s="101" t="s">
        <v>269</v>
      </c>
      <c r="M62" s="206">
        <f t="shared" si="2"/>
        <v>731382.02017918637</v>
      </c>
    </row>
    <row r="63" spans="1:13" x14ac:dyDescent="0.25">
      <c r="A63" s="205">
        <v>61</v>
      </c>
      <c r="B63" s="97" t="s">
        <v>267</v>
      </c>
      <c r="C63" s="98">
        <v>60</v>
      </c>
      <c r="D63" s="98">
        <v>60</v>
      </c>
      <c r="E63" s="106" t="s">
        <v>211</v>
      </c>
      <c r="F63" s="108">
        <f>'COMPARAÇÃO PMPA'!G62</f>
        <v>10311.700000000001</v>
      </c>
      <c r="G63" s="102">
        <f>'COMPARAÇÃO PMPA'!L62</f>
        <v>22525.803841224486</v>
      </c>
      <c r="H63" s="99"/>
      <c r="I63" s="99"/>
      <c r="J63" s="99"/>
      <c r="K63" s="100" t="s">
        <v>252</v>
      </c>
      <c r="L63" s="101" t="s">
        <v>269</v>
      </c>
      <c r="M63" s="206">
        <f t="shared" si="2"/>
        <v>1351548.2304734692</v>
      </c>
    </row>
    <row r="64" spans="1:13" x14ac:dyDescent="0.25">
      <c r="A64" s="205">
        <v>62</v>
      </c>
      <c r="B64" s="97" t="s">
        <v>278</v>
      </c>
      <c r="C64" s="98">
        <v>100</v>
      </c>
      <c r="D64" s="98">
        <v>100</v>
      </c>
      <c r="E64" s="106" t="s">
        <v>207</v>
      </c>
      <c r="F64" s="108">
        <v>1500</v>
      </c>
      <c r="G64" s="102">
        <f>'COMPARAÇÃO PMPA'!H63</f>
        <v>3078.0069899707828</v>
      </c>
      <c r="H64" s="99"/>
      <c r="I64" s="99"/>
      <c r="J64" s="99"/>
      <c r="K64" s="100" t="s">
        <v>252</v>
      </c>
      <c r="L64" s="101" t="s">
        <v>269</v>
      </c>
      <c r="M64" s="206">
        <f t="shared" si="2"/>
        <v>307800.69899707829</v>
      </c>
    </row>
    <row r="65" spans="1:13" x14ac:dyDescent="0.25">
      <c r="A65" s="205">
        <v>63</v>
      </c>
      <c r="B65" s="97" t="s">
        <v>270</v>
      </c>
      <c r="C65" s="98">
        <v>60</v>
      </c>
      <c r="D65" s="98">
        <v>60</v>
      </c>
      <c r="E65" s="106" t="s">
        <v>268</v>
      </c>
      <c r="F65" s="108">
        <f>'COMPARAÇÃO PMPA'!G64</f>
        <v>7661.93</v>
      </c>
      <c r="G65" s="102">
        <f>'COMPARAÇÃO PMPA'!L64</f>
        <v>17213.722034307808</v>
      </c>
      <c r="H65" s="99"/>
      <c r="I65" s="99"/>
      <c r="J65" s="99"/>
      <c r="K65" s="100" t="s">
        <v>252</v>
      </c>
      <c r="L65" s="101" t="s">
        <v>271</v>
      </c>
      <c r="M65" s="206">
        <f t="shared" si="2"/>
        <v>1032823.3220584685</v>
      </c>
    </row>
    <row r="66" spans="1:13" x14ac:dyDescent="0.25">
      <c r="A66" s="205">
        <v>64</v>
      </c>
      <c r="B66" s="97" t="s">
        <v>272</v>
      </c>
      <c r="C66" s="98">
        <v>100</v>
      </c>
      <c r="D66" s="98">
        <v>100</v>
      </c>
      <c r="E66" s="106" t="s">
        <v>171</v>
      </c>
      <c r="F66" s="108">
        <v>1752</v>
      </c>
      <c r="G66" s="102">
        <f>'COMPARAÇÃO PMPA'!L65</f>
        <v>6997.1939878016401</v>
      </c>
      <c r="H66" s="99"/>
      <c r="I66" s="99"/>
      <c r="J66" s="99"/>
      <c r="K66" s="100" t="s">
        <v>301</v>
      </c>
      <c r="L66" s="101" t="s">
        <v>281</v>
      </c>
      <c r="M66" s="206">
        <f t="shared" si="2"/>
        <v>699719.39878016396</v>
      </c>
    </row>
    <row r="67" spans="1:13" x14ac:dyDescent="0.25">
      <c r="A67" s="205">
        <v>65</v>
      </c>
      <c r="B67" s="97" t="s">
        <v>273</v>
      </c>
      <c r="C67" s="98">
        <v>100</v>
      </c>
      <c r="D67" s="98">
        <v>100</v>
      </c>
      <c r="E67" s="106" t="s">
        <v>171</v>
      </c>
      <c r="F67" s="108">
        <v>1116</v>
      </c>
      <c r="G67" s="102">
        <f>'COMPARAÇÃO PMPA'!L66</f>
        <v>5383.4034318478161</v>
      </c>
      <c r="H67" s="99"/>
      <c r="I67" s="99"/>
      <c r="J67" s="99"/>
      <c r="K67" s="100" t="s">
        <v>301</v>
      </c>
      <c r="L67" s="101" t="s">
        <v>282</v>
      </c>
      <c r="M67" s="206">
        <f t="shared" si="2"/>
        <v>538340.34318478161</v>
      </c>
    </row>
    <row r="68" spans="1:13" x14ac:dyDescent="0.25">
      <c r="A68" s="205">
        <v>66</v>
      </c>
      <c r="B68" s="97" t="s">
        <v>274</v>
      </c>
      <c r="C68" s="98">
        <v>18</v>
      </c>
      <c r="D68" s="98">
        <v>18</v>
      </c>
      <c r="E68" s="106" t="s">
        <v>171</v>
      </c>
      <c r="F68" s="108">
        <v>1752</v>
      </c>
      <c r="G68" s="102">
        <f>'COMPARAÇÃO PMPA'!L67</f>
        <v>6997.1939878016401</v>
      </c>
      <c r="H68" s="99"/>
      <c r="I68" s="99"/>
      <c r="J68" s="99"/>
      <c r="K68" s="100" t="s">
        <v>301</v>
      </c>
      <c r="L68" s="101" t="s">
        <v>283</v>
      </c>
      <c r="M68" s="206">
        <f t="shared" si="2"/>
        <v>125949.49178042953</v>
      </c>
    </row>
    <row r="69" spans="1:13" x14ac:dyDescent="0.25">
      <c r="A69" s="205">
        <v>67</v>
      </c>
      <c r="B69" s="97" t="s">
        <v>275</v>
      </c>
      <c r="C69" s="98">
        <v>18</v>
      </c>
      <c r="D69" s="98">
        <v>18</v>
      </c>
      <c r="E69" s="106" t="s">
        <v>171</v>
      </c>
      <c r="F69" s="108">
        <v>1752</v>
      </c>
      <c r="G69" s="102">
        <f>'COMPARAÇÃO PMPA'!L68</f>
        <v>6997.1939878016401</v>
      </c>
      <c r="H69" s="99"/>
      <c r="I69" s="99"/>
      <c r="J69" s="99"/>
      <c r="K69" s="100" t="s">
        <v>301</v>
      </c>
      <c r="L69" s="101" t="s">
        <v>284</v>
      </c>
      <c r="M69" s="206">
        <f t="shared" si="2"/>
        <v>125949.49178042953</v>
      </c>
    </row>
    <row r="70" spans="1:13" x14ac:dyDescent="0.25">
      <c r="A70" s="205">
        <v>68</v>
      </c>
      <c r="B70" s="97" t="s">
        <v>276</v>
      </c>
      <c r="C70" s="98">
        <v>18</v>
      </c>
      <c r="D70" s="98">
        <v>18</v>
      </c>
      <c r="E70" s="106" t="s">
        <v>171</v>
      </c>
      <c r="F70" s="108">
        <v>1752</v>
      </c>
      <c r="G70" s="102">
        <f>'COMPARAÇÃO PMPA'!L69</f>
        <v>6997.1939878016401</v>
      </c>
      <c r="H70" s="99"/>
      <c r="I70" s="99"/>
      <c r="J70" s="99"/>
      <c r="K70" s="100" t="s">
        <v>301</v>
      </c>
      <c r="L70" s="101" t="s">
        <v>285</v>
      </c>
      <c r="M70" s="206">
        <f t="shared" si="2"/>
        <v>125949.49178042953</v>
      </c>
    </row>
    <row r="71" spans="1:13" x14ac:dyDescent="0.25">
      <c r="A71" s="205">
        <v>69</v>
      </c>
      <c r="B71" s="97" t="s">
        <v>277</v>
      </c>
      <c r="C71" s="98">
        <v>18</v>
      </c>
      <c r="D71" s="98">
        <v>18</v>
      </c>
      <c r="E71" s="106" t="s">
        <v>171</v>
      </c>
      <c r="F71" s="108">
        <v>1752</v>
      </c>
      <c r="G71" s="102">
        <f>'COMPARAÇÃO PMPA'!L70</f>
        <v>6997.1939878016401</v>
      </c>
      <c r="H71" s="99"/>
      <c r="I71" s="99"/>
      <c r="J71" s="99"/>
      <c r="K71" s="100" t="s">
        <v>301</v>
      </c>
      <c r="L71" s="101" t="s">
        <v>286</v>
      </c>
      <c r="M71" s="206">
        <f t="shared" si="2"/>
        <v>125949.49178042953</v>
      </c>
    </row>
    <row r="72" spans="1:13" x14ac:dyDescent="0.25">
      <c r="A72" s="205">
        <v>70</v>
      </c>
      <c r="B72" s="97" t="s">
        <v>288</v>
      </c>
      <c r="C72" s="98">
        <v>180000</v>
      </c>
      <c r="D72" s="98">
        <v>180000</v>
      </c>
      <c r="E72" s="106" t="s">
        <v>289</v>
      </c>
      <c r="F72" s="108">
        <v>150</v>
      </c>
      <c r="G72" s="102">
        <v>150</v>
      </c>
      <c r="H72" s="99"/>
      <c r="I72" s="99"/>
      <c r="J72" s="99"/>
      <c r="K72" s="100" t="s">
        <v>91</v>
      </c>
      <c r="L72" s="101" t="s">
        <v>290</v>
      </c>
      <c r="M72" s="206">
        <f>C72*G72/12</f>
        <v>2250000</v>
      </c>
    </row>
    <row r="73" spans="1:13" x14ac:dyDescent="0.25">
      <c r="A73" s="205">
        <v>71</v>
      </c>
      <c r="B73" s="97" t="s">
        <v>294</v>
      </c>
      <c r="C73" s="98">
        <v>18</v>
      </c>
      <c r="D73" s="98">
        <v>18</v>
      </c>
      <c r="E73" s="106" t="s">
        <v>211</v>
      </c>
      <c r="F73" s="108">
        <f>'COMPARAÇÃO PMPA'!G72</f>
        <v>7328.67</v>
      </c>
      <c r="G73" s="102">
        <f>'COMPARAÇÃO PMPA'!L72</f>
        <v>21423.398717929427</v>
      </c>
      <c r="H73" s="99"/>
      <c r="I73" s="99"/>
      <c r="J73" s="99"/>
      <c r="K73" s="100" t="s">
        <v>91</v>
      </c>
      <c r="L73" s="101" t="s">
        <v>295</v>
      </c>
      <c r="M73" s="206">
        <f>G73*C73</f>
        <v>385621.1769227297</v>
      </c>
    </row>
    <row r="74" spans="1:13" x14ac:dyDescent="0.25">
      <c r="A74" s="205">
        <v>72</v>
      </c>
      <c r="B74" s="97" t="s">
        <v>292</v>
      </c>
      <c r="C74" s="98">
        <v>18</v>
      </c>
      <c r="D74" s="98">
        <v>18</v>
      </c>
      <c r="E74" s="106" t="s">
        <v>211</v>
      </c>
      <c r="F74" s="108">
        <f>'COMPARAÇÃO PMPA'!G73</f>
        <v>12229.83</v>
      </c>
      <c r="G74" s="102">
        <f>'COMPARAÇÃO PMPA'!L73</f>
        <v>34196.571805940141</v>
      </c>
      <c r="H74" s="99"/>
      <c r="I74" s="99"/>
      <c r="J74" s="99"/>
      <c r="K74" s="100" t="s">
        <v>91</v>
      </c>
      <c r="L74" s="101" t="s">
        <v>295</v>
      </c>
      <c r="M74" s="206">
        <f t="shared" ref="M74" si="3">G74*C74</f>
        <v>615538.2925069225</v>
      </c>
    </row>
    <row r="75" spans="1:13" x14ac:dyDescent="0.25">
      <c r="A75" s="205">
        <v>73</v>
      </c>
      <c r="B75" s="97" t="s">
        <v>293</v>
      </c>
      <c r="C75" s="98">
        <v>18</v>
      </c>
      <c r="D75" s="98">
        <v>18</v>
      </c>
      <c r="E75" s="106" t="s">
        <v>211</v>
      </c>
      <c r="F75" s="108">
        <f>'COMPARAÇÃO PMPA'!G74</f>
        <v>13429.67</v>
      </c>
      <c r="G75" s="102">
        <f>'COMPARAÇÃO PMPA'!L74</f>
        <v>37323.538482791904</v>
      </c>
      <c r="H75" s="99"/>
      <c r="I75" s="99"/>
      <c r="J75" s="99"/>
      <c r="K75" s="100" t="s">
        <v>91</v>
      </c>
      <c r="L75" s="101" t="s">
        <v>295</v>
      </c>
      <c r="M75" s="206">
        <f>G75*C75</f>
        <v>671823.69269025431</v>
      </c>
    </row>
    <row r="76" spans="1:13" ht="15.75" thickBot="1" x14ac:dyDescent="0.3">
      <c r="A76" s="207">
        <v>74</v>
      </c>
      <c r="B76" s="208" t="s">
        <v>297</v>
      </c>
      <c r="C76" s="209">
        <v>18</v>
      </c>
      <c r="D76" s="209">
        <v>18</v>
      </c>
      <c r="E76" s="210" t="s">
        <v>171</v>
      </c>
      <c r="F76" s="211">
        <f>'COMPARAÇÃO PMPA'!$G$75</f>
        <v>2156.69</v>
      </c>
      <c r="G76" s="212">
        <f>'COMPARAÇÃO PMPA'!$L$75</f>
        <v>6170.4523213474367</v>
      </c>
      <c r="H76" s="213"/>
      <c r="I76" s="213"/>
      <c r="J76" s="213"/>
      <c r="K76" s="214" t="s">
        <v>302</v>
      </c>
      <c r="L76" s="215" t="s">
        <v>298</v>
      </c>
      <c r="M76" s="216">
        <f>G76*C76</f>
        <v>111068.14178425386</v>
      </c>
    </row>
    <row r="77" spans="1:13" ht="15.75" thickBot="1" x14ac:dyDescent="0.3">
      <c r="A77" s="109"/>
      <c r="B77" s="109"/>
      <c r="C77" s="109"/>
      <c r="D77" s="109"/>
      <c r="E77" s="109"/>
      <c r="F77" s="109"/>
      <c r="G77" s="109"/>
      <c r="H77" s="109"/>
      <c r="I77" s="109"/>
      <c r="J77" s="109"/>
      <c r="K77" s="16" t="s">
        <v>314</v>
      </c>
      <c r="L77" s="220"/>
      <c r="M77" s="217">
        <f>SUM(M3:M76)</f>
        <v>27590541.790841773</v>
      </c>
    </row>
    <row r="78" spans="1:13" ht="15.75" thickBot="1" x14ac:dyDescent="0.3">
      <c r="A78" s="109"/>
      <c r="B78" s="109"/>
      <c r="C78" s="109"/>
      <c r="D78" s="109"/>
      <c r="E78" s="109"/>
      <c r="F78" s="109"/>
      <c r="G78" s="109"/>
      <c r="H78" s="109"/>
      <c r="I78" s="109"/>
      <c r="J78" s="109"/>
      <c r="K78" s="221" t="s">
        <v>315</v>
      </c>
      <c r="L78" s="222"/>
      <c r="M78" s="218">
        <f>M77*12</f>
        <v>331086501.49010128</v>
      </c>
    </row>
    <row r="79" spans="1:13" ht="15.75" thickBot="1" x14ac:dyDescent="0.3">
      <c r="A79" s="69"/>
      <c r="B79" s="69"/>
      <c r="C79" s="69"/>
      <c r="D79" s="69"/>
      <c r="E79" s="69"/>
      <c r="F79" s="103"/>
      <c r="G79" s="103"/>
      <c r="H79" s="69"/>
      <c r="I79" s="69"/>
      <c r="J79" s="69"/>
      <c r="K79" s="69"/>
      <c r="L79" s="69"/>
      <c r="M79" s="95"/>
    </row>
    <row r="80" spans="1:13" ht="15.75" thickBot="1" x14ac:dyDescent="0.3">
      <c r="A80" s="14" t="s">
        <v>14</v>
      </c>
      <c r="B80" s="13"/>
      <c r="C80" s="13"/>
      <c r="D80" s="13"/>
      <c r="E80" s="12"/>
      <c r="F80" s="219">
        <f>SUM(C3:C72)</f>
        <v>184447</v>
      </c>
      <c r="G80" s="104"/>
      <c r="H80" s="70"/>
      <c r="I80" s="70"/>
      <c r="J80" s="70"/>
      <c r="K80" s="70"/>
      <c r="L80" s="71"/>
      <c r="M80" s="96"/>
    </row>
    <row r="81" spans="1:13" ht="21.75" customHeight="1" x14ac:dyDescent="0.25">
      <c r="A81" s="71"/>
      <c r="B81" s="72"/>
      <c r="C81" s="72"/>
      <c r="D81" s="71"/>
      <c r="E81" s="107"/>
      <c r="F81" s="96"/>
      <c r="G81" s="96"/>
      <c r="H81" s="71"/>
      <c r="I81" s="71"/>
      <c r="J81" s="71"/>
      <c r="K81" s="71"/>
      <c r="L81" s="71"/>
      <c r="M81" s="96"/>
    </row>
    <row r="82" spans="1:13" x14ac:dyDescent="0.25">
      <c r="B82" s="52"/>
    </row>
    <row r="83" spans="1:13" x14ac:dyDescent="0.25">
      <c r="B83" s="52"/>
    </row>
    <row r="84" spans="1:13" x14ac:dyDescent="0.25">
      <c r="B84" s="52"/>
    </row>
    <row r="85" spans="1:13" x14ac:dyDescent="0.25">
      <c r="B85" s="52"/>
    </row>
    <row r="86" spans="1:13" x14ac:dyDescent="0.25">
      <c r="B86" s="52"/>
    </row>
    <row r="87" spans="1:13" x14ac:dyDescent="0.25">
      <c r="B87" s="52"/>
    </row>
    <row r="88" spans="1:13" x14ac:dyDescent="0.25">
      <c r="B88" s="52"/>
    </row>
    <row r="89" spans="1:13" x14ac:dyDescent="0.25">
      <c r="B89" s="52"/>
    </row>
    <row r="90" spans="1:13" x14ac:dyDescent="0.25">
      <c r="B90" s="52"/>
    </row>
    <row r="91" spans="1:13" x14ac:dyDescent="0.25">
      <c r="B91" s="52"/>
    </row>
    <row r="92" spans="1:13" x14ac:dyDescent="0.25">
      <c r="B92" s="52"/>
    </row>
    <row r="93" spans="1:13" x14ac:dyDescent="0.25">
      <c r="B93" s="52"/>
    </row>
    <row r="94" spans="1:13" x14ac:dyDescent="0.25">
      <c r="B94" s="52"/>
    </row>
    <row r="95" spans="1:13" x14ac:dyDescent="0.25">
      <c r="B95" s="52"/>
    </row>
    <row r="96" spans="1:13" x14ac:dyDescent="0.25">
      <c r="B96" s="52"/>
    </row>
    <row r="97" spans="2:2" x14ac:dyDescent="0.25">
      <c r="B97" s="52"/>
    </row>
    <row r="98" spans="2:2" x14ac:dyDescent="0.25">
      <c r="B98" s="52"/>
    </row>
    <row r="99" spans="2:2" x14ac:dyDescent="0.25">
      <c r="B99" s="52"/>
    </row>
    <row r="100" spans="2:2" x14ac:dyDescent="0.25">
      <c r="B100" s="52"/>
    </row>
    <row r="101" spans="2:2" x14ac:dyDescent="0.25">
      <c r="B101" s="52"/>
    </row>
    <row r="102" spans="2:2" x14ac:dyDescent="0.25">
      <c r="B102" s="52"/>
    </row>
    <row r="103" spans="2:2" x14ac:dyDescent="0.25">
      <c r="B103" s="52"/>
    </row>
    <row r="104" spans="2:2" x14ac:dyDescent="0.25">
      <c r="B104" s="52"/>
    </row>
    <row r="105" spans="2:2" x14ac:dyDescent="0.25">
      <c r="B105" s="52"/>
    </row>
    <row r="106" spans="2:2" x14ac:dyDescent="0.25">
      <c r="B106" s="52"/>
    </row>
    <row r="107" spans="2:2" x14ac:dyDescent="0.25">
      <c r="B107" s="52"/>
    </row>
    <row r="108" spans="2:2" x14ac:dyDescent="0.25">
      <c r="B108" s="52"/>
    </row>
    <row r="109" spans="2:2" x14ac:dyDescent="0.25">
      <c r="B109" s="52"/>
    </row>
    <row r="110" spans="2:2" x14ac:dyDescent="0.25">
      <c r="B110" s="52"/>
    </row>
    <row r="111" spans="2:2" x14ac:dyDescent="0.25">
      <c r="B111" s="52"/>
    </row>
    <row r="112" spans="2:2" x14ac:dyDescent="0.25">
      <c r="B112" s="52"/>
    </row>
    <row r="113" spans="2:2" x14ac:dyDescent="0.25">
      <c r="B113" s="52"/>
    </row>
    <row r="114" spans="2:2" x14ac:dyDescent="0.25">
      <c r="B114" s="52"/>
    </row>
    <row r="115" spans="2:2" x14ac:dyDescent="0.25">
      <c r="B115" s="52"/>
    </row>
    <row r="116" spans="2:2" x14ac:dyDescent="0.25">
      <c r="B116" s="52"/>
    </row>
    <row r="117" spans="2:2" x14ac:dyDescent="0.25">
      <c r="B117" s="52"/>
    </row>
    <row r="118" spans="2:2" x14ac:dyDescent="0.25">
      <c r="B118" s="52"/>
    </row>
    <row r="119" spans="2:2" x14ac:dyDescent="0.25">
      <c r="B119" s="52"/>
    </row>
    <row r="120" spans="2:2" x14ac:dyDescent="0.25">
      <c r="B120" s="52"/>
    </row>
    <row r="121" spans="2:2" x14ac:dyDescent="0.25">
      <c r="B121" s="52"/>
    </row>
    <row r="122" spans="2:2" x14ac:dyDescent="0.25">
      <c r="B122" s="52"/>
    </row>
    <row r="123" spans="2:2" x14ac:dyDescent="0.25">
      <c r="B123" s="52"/>
    </row>
    <row r="124" spans="2:2" x14ac:dyDescent="0.25">
      <c r="B124" s="52"/>
    </row>
    <row r="125" spans="2:2" x14ac:dyDescent="0.25">
      <c r="B125" s="52"/>
    </row>
    <row r="126" spans="2:2" x14ac:dyDescent="0.25">
      <c r="B126" s="52"/>
    </row>
    <row r="127" spans="2:2" x14ac:dyDescent="0.25">
      <c r="B127" s="52"/>
    </row>
    <row r="128" spans="2:2" x14ac:dyDescent="0.25">
      <c r="B128" s="52"/>
    </row>
    <row r="129" spans="2:2" x14ac:dyDescent="0.25">
      <c r="B129" s="52"/>
    </row>
    <row r="130" spans="2:2" x14ac:dyDescent="0.25">
      <c r="B130" s="52"/>
    </row>
    <row r="131" spans="2:2" x14ac:dyDescent="0.25">
      <c r="B131" s="52"/>
    </row>
    <row r="132" spans="2:2" x14ac:dyDescent="0.25">
      <c r="B132" s="52"/>
    </row>
    <row r="133" spans="2:2" x14ac:dyDescent="0.25">
      <c r="B133" s="52"/>
    </row>
    <row r="134" spans="2:2" x14ac:dyDescent="0.25">
      <c r="B134" s="52"/>
    </row>
    <row r="135" spans="2:2" x14ac:dyDescent="0.25">
      <c r="B135" s="52"/>
    </row>
    <row r="136" spans="2:2" x14ac:dyDescent="0.25">
      <c r="B136" s="52"/>
    </row>
    <row r="137" spans="2:2" x14ac:dyDescent="0.25">
      <c r="B137" s="52"/>
    </row>
    <row r="138" spans="2:2" x14ac:dyDescent="0.25">
      <c r="B138" s="52"/>
    </row>
    <row r="139" spans="2:2" x14ac:dyDescent="0.25">
      <c r="B139" s="52"/>
    </row>
    <row r="140" spans="2:2" x14ac:dyDescent="0.25">
      <c r="B140" s="52"/>
    </row>
    <row r="141" spans="2:2" x14ac:dyDescent="0.25">
      <c r="B141" s="52"/>
    </row>
    <row r="142" spans="2:2" x14ac:dyDescent="0.25">
      <c r="B142" s="52"/>
    </row>
    <row r="143" spans="2:2" x14ac:dyDescent="0.25">
      <c r="B143" s="52"/>
    </row>
    <row r="144" spans="2:2" x14ac:dyDescent="0.25">
      <c r="B144" s="52"/>
    </row>
    <row r="145" spans="2:2" x14ac:dyDescent="0.25">
      <c r="B145" s="52"/>
    </row>
    <row r="146" spans="2:2" x14ac:dyDescent="0.25">
      <c r="B146" s="52"/>
    </row>
    <row r="147" spans="2:2" x14ac:dyDescent="0.25">
      <c r="B147" s="52"/>
    </row>
    <row r="148" spans="2:2" x14ac:dyDescent="0.25">
      <c r="B148" s="52"/>
    </row>
    <row r="149" spans="2:2" x14ac:dyDescent="0.25">
      <c r="B149" s="52"/>
    </row>
    <row r="150" spans="2:2" x14ac:dyDescent="0.25">
      <c r="B150" s="52"/>
    </row>
    <row r="151" spans="2:2" x14ac:dyDescent="0.25">
      <c r="B151" s="52"/>
    </row>
    <row r="152" spans="2:2" x14ac:dyDescent="0.25">
      <c r="B152" s="52"/>
    </row>
    <row r="153" spans="2:2" x14ac:dyDescent="0.25">
      <c r="B153" s="52"/>
    </row>
    <row r="154" spans="2:2" x14ac:dyDescent="0.25">
      <c r="B154" s="52"/>
    </row>
    <row r="155" spans="2:2" x14ac:dyDescent="0.25">
      <c r="B155" s="52"/>
    </row>
    <row r="156" spans="2:2" x14ac:dyDescent="0.25">
      <c r="B156" s="52"/>
    </row>
    <row r="157" spans="2:2" x14ac:dyDescent="0.25">
      <c r="B157" s="52"/>
    </row>
    <row r="158" spans="2:2" x14ac:dyDescent="0.25">
      <c r="B158" s="52"/>
    </row>
    <row r="159" spans="2:2" x14ac:dyDescent="0.25">
      <c r="B159" s="52"/>
    </row>
    <row r="160" spans="2:2" x14ac:dyDescent="0.25">
      <c r="B160" s="52"/>
    </row>
    <row r="161" spans="2:2" x14ac:dyDescent="0.25">
      <c r="B161" s="52"/>
    </row>
    <row r="162" spans="2:2" x14ac:dyDescent="0.25">
      <c r="B162" s="52"/>
    </row>
    <row r="163" spans="2:2" x14ac:dyDescent="0.25">
      <c r="B163" s="52"/>
    </row>
    <row r="164" spans="2:2" x14ac:dyDescent="0.25">
      <c r="B164" s="52"/>
    </row>
    <row r="165" spans="2:2" x14ac:dyDescent="0.25">
      <c r="B165" s="52"/>
    </row>
    <row r="166" spans="2:2" x14ac:dyDescent="0.25">
      <c r="B166" s="52"/>
    </row>
    <row r="167" spans="2:2" x14ac:dyDescent="0.25">
      <c r="B167" s="52"/>
    </row>
    <row r="168" spans="2:2" x14ac:dyDescent="0.25">
      <c r="B168" s="52"/>
    </row>
    <row r="169" spans="2:2" x14ac:dyDescent="0.25">
      <c r="B169" s="52"/>
    </row>
    <row r="170" spans="2:2" x14ac:dyDescent="0.25">
      <c r="B170" s="52"/>
    </row>
    <row r="171" spans="2:2" x14ac:dyDescent="0.25">
      <c r="B171" s="52"/>
    </row>
    <row r="172" spans="2:2" x14ac:dyDescent="0.25">
      <c r="B172" s="52"/>
    </row>
    <row r="173" spans="2:2" x14ac:dyDescent="0.25">
      <c r="B173" s="52"/>
    </row>
    <row r="174" spans="2:2" x14ac:dyDescent="0.25">
      <c r="B174" s="52"/>
    </row>
    <row r="175" spans="2:2" x14ac:dyDescent="0.25">
      <c r="B175" s="52"/>
    </row>
    <row r="176" spans="2:2" x14ac:dyDescent="0.25">
      <c r="B176" s="52"/>
    </row>
    <row r="177" spans="2:2" x14ac:dyDescent="0.25">
      <c r="B177" s="52"/>
    </row>
    <row r="178" spans="2:2" x14ac:dyDescent="0.25">
      <c r="B178" s="52"/>
    </row>
    <row r="179" spans="2:2" x14ac:dyDescent="0.25">
      <c r="B179" s="52"/>
    </row>
    <row r="180" spans="2:2" x14ac:dyDescent="0.25">
      <c r="B180" s="52"/>
    </row>
    <row r="181" spans="2:2" x14ac:dyDescent="0.25">
      <c r="B181" s="52"/>
    </row>
    <row r="182" spans="2:2" x14ac:dyDescent="0.25">
      <c r="B182" s="52"/>
    </row>
    <row r="183" spans="2:2" x14ac:dyDescent="0.25">
      <c r="B183" s="52"/>
    </row>
    <row r="184" spans="2:2" x14ac:dyDescent="0.25">
      <c r="B184" s="52"/>
    </row>
    <row r="185" spans="2:2" x14ac:dyDescent="0.25">
      <c r="B185" s="52"/>
    </row>
    <row r="186" spans="2:2" x14ac:dyDescent="0.25">
      <c r="B186" s="52"/>
    </row>
    <row r="187" spans="2:2" x14ac:dyDescent="0.25">
      <c r="B187" s="52"/>
    </row>
    <row r="188" spans="2:2" x14ac:dyDescent="0.25">
      <c r="B188" s="52"/>
    </row>
    <row r="189" spans="2:2" x14ac:dyDescent="0.25">
      <c r="B189" s="52"/>
    </row>
    <row r="190" spans="2:2" x14ac:dyDescent="0.25">
      <c r="B190" s="52"/>
    </row>
    <row r="191" spans="2:2" x14ac:dyDescent="0.25">
      <c r="B191" s="52"/>
    </row>
    <row r="192" spans="2:2" x14ac:dyDescent="0.25">
      <c r="B192" s="52"/>
    </row>
    <row r="193" spans="2:2" x14ac:dyDescent="0.25">
      <c r="B193" s="52"/>
    </row>
    <row r="194" spans="2:2" x14ac:dyDescent="0.25">
      <c r="B194" s="52"/>
    </row>
    <row r="195" spans="2:2" x14ac:dyDescent="0.25">
      <c r="B195" s="52"/>
    </row>
    <row r="196" spans="2:2" x14ac:dyDescent="0.25">
      <c r="B196" s="52"/>
    </row>
    <row r="197" spans="2:2" x14ac:dyDescent="0.25">
      <c r="B197" s="52"/>
    </row>
    <row r="198" spans="2:2" x14ac:dyDescent="0.25">
      <c r="B198" s="52"/>
    </row>
    <row r="199" spans="2:2" x14ac:dyDescent="0.25">
      <c r="B199" s="52"/>
    </row>
    <row r="200" spans="2:2" x14ac:dyDescent="0.25">
      <c r="B200" s="52"/>
    </row>
    <row r="201" spans="2:2" x14ac:dyDescent="0.25">
      <c r="B201" s="52"/>
    </row>
    <row r="202" spans="2:2" x14ac:dyDescent="0.25">
      <c r="B202" s="52"/>
    </row>
    <row r="203" spans="2:2" x14ac:dyDescent="0.25">
      <c r="B203" s="52"/>
    </row>
    <row r="204" spans="2:2" x14ac:dyDescent="0.25">
      <c r="B204" s="52"/>
    </row>
    <row r="205" spans="2:2" x14ac:dyDescent="0.25">
      <c r="B205" s="52"/>
    </row>
    <row r="206" spans="2:2" x14ac:dyDescent="0.25">
      <c r="B206" s="52"/>
    </row>
    <row r="207" spans="2:2" x14ac:dyDescent="0.25">
      <c r="B207" s="52"/>
    </row>
    <row r="208" spans="2:2" x14ac:dyDescent="0.25">
      <c r="B208" s="52"/>
    </row>
    <row r="209" spans="2:2" x14ac:dyDescent="0.25">
      <c r="B209" s="52"/>
    </row>
    <row r="210" spans="2:2" x14ac:dyDescent="0.25">
      <c r="B210" s="52"/>
    </row>
    <row r="211" spans="2:2" x14ac:dyDescent="0.25">
      <c r="B211" s="52"/>
    </row>
    <row r="212" spans="2:2" x14ac:dyDescent="0.25">
      <c r="B212" s="52"/>
    </row>
    <row r="213" spans="2:2" x14ac:dyDescent="0.25">
      <c r="B213" s="52"/>
    </row>
    <row r="214" spans="2:2" x14ac:dyDescent="0.25">
      <c r="B214" s="52"/>
    </row>
    <row r="215" spans="2:2" x14ac:dyDescent="0.25">
      <c r="B215" s="52"/>
    </row>
    <row r="216" spans="2:2" x14ac:dyDescent="0.25">
      <c r="B216" s="52"/>
    </row>
    <row r="217" spans="2:2" x14ac:dyDescent="0.25">
      <c r="B217" s="52"/>
    </row>
    <row r="218" spans="2:2" x14ac:dyDescent="0.25">
      <c r="B218" s="52"/>
    </row>
    <row r="219" spans="2:2" x14ac:dyDescent="0.25">
      <c r="B219" s="52"/>
    </row>
    <row r="220" spans="2:2" x14ac:dyDescent="0.25">
      <c r="B220" s="52"/>
    </row>
    <row r="221" spans="2:2" x14ac:dyDescent="0.25">
      <c r="B221" s="52"/>
    </row>
    <row r="222" spans="2:2" x14ac:dyDescent="0.25">
      <c r="B222" s="52"/>
    </row>
    <row r="223" spans="2:2" x14ac:dyDescent="0.25">
      <c r="B223" s="52"/>
    </row>
    <row r="224" spans="2:2" x14ac:dyDescent="0.25">
      <c r="B224" s="52"/>
    </row>
    <row r="225" spans="2:2" x14ac:dyDescent="0.25">
      <c r="B225" s="52"/>
    </row>
    <row r="226" spans="2:2" x14ac:dyDescent="0.25">
      <c r="B226" s="52"/>
    </row>
    <row r="227" spans="2:2" x14ac:dyDescent="0.25">
      <c r="B227" s="52"/>
    </row>
    <row r="228" spans="2:2" x14ac:dyDescent="0.25">
      <c r="B228" s="52"/>
    </row>
    <row r="229" spans="2:2" x14ac:dyDescent="0.25">
      <c r="B229" s="52"/>
    </row>
    <row r="230" spans="2:2" x14ac:dyDescent="0.25">
      <c r="B230" s="52"/>
    </row>
    <row r="231" spans="2:2" x14ac:dyDescent="0.25">
      <c r="B231" s="52"/>
    </row>
    <row r="232" spans="2:2" x14ac:dyDescent="0.25">
      <c r="B232" s="52"/>
    </row>
    <row r="233" spans="2:2" x14ac:dyDescent="0.25">
      <c r="B233" s="52"/>
    </row>
    <row r="234" spans="2:2" x14ac:dyDescent="0.25">
      <c r="B234" s="52"/>
    </row>
    <row r="235" spans="2:2" x14ac:dyDescent="0.25">
      <c r="B235" s="52"/>
    </row>
    <row r="236" spans="2:2" x14ac:dyDescent="0.25">
      <c r="B236" s="52"/>
    </row>
    <row r="237" spans="2:2" x14ac:dyDescent="0.25">
      <c r="B237" s="52"/>
    </row>
    <row r="238" spans="2:2" x14ac:dyDescent="0.25">
      <c r="B238" s="52"/>
    </row>
    <row r="239" spans="2:2" x14ac:dyDescent="0.25">
      <c r="B239" s="52"/>
    </row>
    <row r="240" spans="2:2" x14ac:dyDescent="0.25">
      <c r="B240" s="52"/>
    </row>
    <row r="241" spans="2:2" x14ac:dyDescent="0.25">
      <c r="B241" s="52"/>
    </row>
    <row r="242" spans="2:2" x14ac:dyDescent="0.25">
      <c r="B242" s="52"/>
    </row>
    <row r="243" spans="2:2" x14ac:dyDescent="0.25">
      <c r="B243" s="52"/>
    </row>
    <row r="244" spans="2:2" x14ac:dyDescent="0.25">
      <c r="B244" s="52"/>
    </row>
    <row r="245" spans="2:2" x14ac:dyDescent="0.25">
      <c r="B245" s="52"/>
    </row>
    <row r="246" spans="2:2" x14ac:dyDescent="0.25">
      <c r="B246" s="52"/>
    </row>
    <row r="247" spans="2:2" x14ac:dyDescent="0.25">
      <c r="B247" s="52"/>
    </row>
    <row r="248" spans="2:2" x14ac:dyDescent="0.25">
      <c r="B248" s="52"/>
    </row>
    <row r="249" spans="2:2" x14ac:dyDescent="0.25">
      <c r="B249" s="52"/>
    </row>
    <row r="250" spans="2:2" x14ac:dyDescent="0.25">
      <c r="B250" s="52"/>
    </row>
    <row r="251" spans="2:2" x14ac:dyDescent="0.25">
      <c r="B251" s="52"/>
    </row>
    <row r="252" spans="2:2" x14ac:dyDescent="0.25">
      <c r="B252" s="52"/>
    </row>
    <row r="253" spans="2:2" x14ac:dyDescent="0.25">
      <c r="B253" s="52"/>
    </row>
    <row r="254" spans="2:2" x14ac:dyDescent="0.25">
      <c r="B254" s="52"/>
    </row>
    <row r="255" spans="2:2" x14ac:dyDescent="0.25">
      <c r="B255" s="52"/>
    </row>
    <row r="256" spans="2:2" x14ac:dyDescent="0.25">
      <c r="B256" s="52"/>
    </row>
    <row r="257" spans="2:2" x14ac:dyDescent="0.25">
      <c r="B257" s="52"/>
    </row>
    <row r="258" spans="2:2" x14ac:dyDescent="0.25">
      <c r="B258" s="52"/>
    </row>
    <row r="259" spans="2:2" x14ac:dyDescent="0.25">
      <c r="B259" s="52"/>
    </row>
    <row r="260" spans="2:2" x14ac:dyDescent="0.25">
      <c r="B260" s="52"/>
    </row>
    <row r="261" spans="2:2" x14ac:dyDescent="0.25">
      <c r="B261" s="52"/>
    </row>
    <row r="262" spans="2:2" x14ac:dyDescent="0.25">
      <c r="B262" s="52"/>
    </row>
    <row r="263" spans="2:2" x14ac:dyDescent="0.25">
      <c r="B263" s="52"/>
    </row>
    <row r="264" spans="2:2" x14ac:dyDescent="0.25">
      <c r="B264" s="52"/>
    </row>
    <row r="265" spans="2:2" x14ac:dyDescent="0.25">
      <c r="B265" s="52"/>
    </row>
    <row r="266" spans="2:2" x14ac:dyDescent="0.25">
      <c r="B266" s="52"/>
    </row>
    <row r="267" spans="2:2" x14ac:dyDescent="0.25">
      <c r="B267" s="52"/>
    </row>
    <row r="268" spans="2:2" x14ac:dyDescent="0.25">
      <c r="B268" s="52"/>
    </row>
    <row r="269" spans="2:2" x14ac:dyDescent="0.25">
      <c r="B269" s="52"/>
    </row>
    <row r="270" spans="2:2" x14ac:dyDescent="0.25">
      <c r="B270" s="52"/>
    </row>
    <row r="271" spans="2:2" x14ac:dyDescent="0.25">
      <c r="B271" s="52"/>
    </row>
    <row r="272" spans="2:2" x14ac:dyDescent="0.25">
      <c r="B272" s="52"/>
    </row>
    <row r="273" spans="2:2" x14ac:dyDescent="0.25">
      <c r="B273" s="52"/>
    </row>
    <row r="274" spans="2:2" x14ac:dyDescent="0.25">
      <c r="B274" s="52"/>
    </row>
    <row r="275" spans="2:2" x14ac:dyDescent="0.25">
      <c r="B275" s="52"/>
    </row>
    <row r="276" spans="2:2" x14ac:dyDescent="0.25">
      <c r="B276" s="52"/>
    </row>
    <row r="277" spans="2:2" x14ac:dyDescent="0.25">
      <c r="B277" s="52"/>
    </row>
    <row r="278" spans="2:2" x14ac:dyDescent="0.25">
      <c r="B278" s="52"/>
    </row>
    <row r="279" spans="2:2" x14ac:dyDescent="0.25">
      <c r="B279" s="52"/>
    </row>
    <row r="280" spans="2:2" x14ac:dyDescent="0.25">
      <c r="B280" s="52"/>
    </row>
    <row r="281" spans="2:2" x14ac:dyDescent="0.25">
      <c r="B281" s="52"/>
    </row>
    <row r="282" spans="2:2" x14ac:dyDescent="0.25">
      <c r="B282" s="52"/>
    </row>
    <row r="283" spans="2:2" x14ac:dyDescent="0.25">
      <c r="B283" s="52"/>
    </row>
    <row r="284" spans="2:2" x14ac:dyDescent="0.25">
      <c r="B284" s="52"/>
    </row>
    <row r="285" spans="2:2" x14ac:dyDescent="0.25">
      <c r="B285" s="52"/>
    </row>
    <row r="286" spans="2:2" x14ac:dyDescent="0.25">
      <c r="B286" s="52"/>
    </row>
    <row r="287" spans="2:2" x14ac:dyDescent="0.25">
      <c r="B287" s="52"/>
    </row>
    <row r="288" spans="2:2" x14ac:dyDescent="0.25">
      <c r="B288" s="52"/>
    </row>
    <row r="289" spans="2:2" x14ac:dyDescent="0.25">
      <c r="B289" s="52"/>
    </row>
    <row r="290" spans="2:2" x14ac:dyDescent="0.25">
      <c r="B290" s="52"/>
    </row>
    <row r="291" spans="2:2" x14ac:dyDescent="0.25">
      <c r="B291" s="52"/>
    </row>
    <row r="292" spans="2:2" x14ac:dyDescent="0.25">
      <c r="B292" s="52"/>
    </row>
    <row r="293" spans="2:2" x14ac:dyDescent="0.25">
      <c r="B293" s="52"/>
    </row>
    <row r="294" spans="2:2" x14ac:dyDescent="0.25">
      <c r="B294" s="52"/>
    </row>
    <row r="295" spans="2:2" x14ac:dyDescent="0.25">
      <c r="B295" s="52"/>
    </row>
    <row r="296" spans="2:2" x14ac:dyDescent="0.25">
      <c r="B296" s="52"/>
    </row>
    <row r="297" spans="2:2" x14ac:dyDescent="0.25">
      <c r="B297" s="52"/>
    </row>
    <row r="298" spans="2:2" x14ac:dyDescent="0.25">
      <c r="B298" s="52"/>
    </row>
    <row r="299" spans="2:2" x14ac:dyDescent="0.25">
      <c r="B299" s="52"/>
    </row>
    <row r="300" spans="2:2" x14ac:dyDescent="0.25">
      <c r="B300" s="52"/>
    </row>
    <row r="301" spans="2:2" x14ac:dyDescent="0.25">
      <c r="B301" s="52"/>
    </row>
    <row r="302" spans="2:2" x14ac:dyDescent="0.25">
      <c r="B302" s="52"/>
    </row>
    <row r="303" spans="2:2" x14ac:dyDescent="0.25">
      <c r="B303" s="52"/>
    </row>
    <row r="304" spans="2:2" x14ac:dyDescent="0.25">
      <c r="B304" s="52"/>
    </row>
    <row r="305" spans="2:2" x14ac:dyDescent="0.25">
      <c r="B305" s="52"/>
    </row>
    <row r="306" spans="2:2" x14ac:dyDescent="0.25">
      <c r="B306" s="52"/>
    </row>
    <row r="307" spans="2:2" x14ac:dyDescent="0.25">
      <c r="B307" s="52"/>
    </row>
    <row r="308" spans="2:2" x14ac:dyDescent="0.25">
      <c r="B308" s="52"/>
    </row>
    <row r="309" spans="2:2" x14ac:dyDescent="0.25">
      <c r="B309" s="52"/>
    </row>
    <row r="310" spans="2:2" x14ac:dyDescent="0.25">
      <c r="B310" s="52"/>
    </row>
    <row r="311" spans="2:2" x14ac:dyDescent="0.25">
      <c r="B311" s="52"/>
    </row>
    <row r="312" spans="2:2" x14ac:dyDescent="0.25">
      <c r="B312" s="52"/>
    </row>
    <row r="313" spans="2:2" x14ac:dyDescent="0.25">
      <c r="B313" s="52"/>
    </row>
    <row r="314" spans="2:2" x14ac:dyDescent="0.25">
      <c r="B314" s="52"/>
    </row>
    <row r="315" spans="2:2" x14ac:dyDescent="0.25">
      <c r="B315" s="52"/>
    </row>
    <row r="316" spans="2:2" x14ac:dyDescent="0.25">
      <c r="B316" s="52"/>
    </row>
    <row r="317" spans="2:2" x14ac:dyDescent="0.25">
      <c r="B317" s="52"/>
    </row>
    <row r="318" spans="2:2" x14ac:dyDescent="0.25">
      <c r="B318" s="52"/>
    </row>
    <row r="319" spans="2:2" x14ac:dyDescent="0.25">
      <c r="B319" s="52"/>
    </row>
    <row r="320" spans="2:2" x14ac:dyDescent="0.25">
      <c r="B320" s="52"/>
    </row>
    <row r="321" spans="2:2" x14ac:dyDescent="0.25">
      <c r="B321" s="52"/>
    </row>
    <row r="322" spans="2:2" x14ac:dyDescent="0.25">
      <c r="B322" s="52"/>
    </row>
    <row r="323" spans="2:2" x14ac:dyDescent="0.25">
      <c r="B323" s="52"/>
    </row>
    <row r="324" spans="2:2" x14ac:dyDescent="0.25">
      <c r="B324" s="52"/>
    </row>
    <row r="325" spans="2:2" x14ac:dyDescent="0.25">
      <c r="B325" s="52"/>
    </row>
    <row r="326" spans="2:2" x14ac:dyDescent="0.25">
      <c r="B326" s="52"/>
    </row>
    <row r="327" spans="2:2" x14ac:dyDescent="0.25">
      <c r="B327" s="52"/>
    </row>
    <row r="328" spans="2:2" x14ac:dyDescent="0.25">
      <c r="B328" s="52"/>
    </row>
    <row r="329" spans="2:2" x14ac:dyDescent="0.25">
      <c r="B329" s="52"/>
    </row>
    <row r="330" spans="2:2" x14ac:dyDescent="0.25">
      <c r="B330" s="52"/>
    </row>
    <row r="331" spans="2:2" x14ac:dyDescent="0.25">
      <c r="B331" s="52"/>
    </row>
    <row r="332" spans="2:2" x14ac:dyDescent="0.25">
      <c r="B332" s="52"/>
    </row>
    <row r="333" spans="2:2" x14ac:dyDescent="0.25">
      <c r="B333" s="52"/>
    </row>
    <row r="334" spans="2:2" x14ac:dyDescent="0.25">
      <c r="B334" s="52"/>
    </row>
    <row r="335" spans="2:2" x14ac:dyDescent="0.25">
      <c r="B335" s="52"/>
    </row>
    <row r="336" spans="2:2" x14ac:dyDescent="0.25">
      <c r="B336" s="52"/>
    </row>
    <row r="337" spans="2:2" x14ac:dyDescent="0.25">
      <c r="B337" s="52"/>
    </row>
    <row r="338" spans="2:2" x14ac:dyDescent="0.25">
      <c r="B338" s="52"/>
    </row>
    <row r="339" spans="2:2" x14ac:dyDescent="0.25">
      <c r="B339" s="52"/>
    </row>
    <row r="340" spans="2:2" x14ac:dyDescent="0.25">
      <c r="B340" s="52"/>
    </row>
    <row r="341" spans="2:2" x14ac:dyDescent="0.25">
      <c r="B341" s="52"/>
    </row>
    <row r="342" spans="2:2" x14ac:dyDescent="0.25">
      <c r="B342" s="52"/>
    </row>
    <row r="343" spans="2:2" x14ac:dyDescent="0.25">
      <c r="B343" s="52"/>
    </row>
    <row r="344" spans="2:2" x14ac:dyDescent="0.25">
      <c r="B344" s="52"/>
    </row>
    <row r="345" spans="2:2" x14ac:dyDescent="0.25">
      <c r="B345" s="52"/>
    </row>
    <row r="346" spans="2:2" x14ac:dyDescent="0.25">
      <c r="B346" s="52"/>
    </row>
    <row r="347" spans="2:2" x14ac:dyDescent="0.25">
      <c r="B347" s="52"/>
    </row>
    <row r="348" spans="2:2" x14ac:dyDescent="0.25">
      <c r="B348" s="52"/>
    </row>
    <row r="349" spans="2:2" x14ac:dyDescent="0.25">
      <c r="B349" s="52"/>
    </row>
    <row r="350" spans="2:2" x14ac:dyDescent="0.25">
      <c r="B350" s="52"/>
    </row>
    <row r="351" spans="2:2" x14ac:dyDescent="0.25">
      <c r="B351" s="52"/>
    </row>
    <row r="352" spans="2:2" x14ac:dyDescent="0.25">
      <c r="B352" s="52"/>
    </row>
    <row r="353" spans="2:2" x14ac:dyDescent="0.25">
      <c r="B353" s="52"/>
    </row>
    <row r="354" spans="2:2" x14ac:dyDescent="0.25">
      <c r="B354" s="52"/>
    </row>
    <row r="355" spans="2:2" x14ac:dyDescent="0.25">
      <c r="B355" s="52"/>
    </row>
    <row r="356" spans="2:2" x14ac:dyDescent="0.25">
      <c r="B356" s="52"/>
    </row>
    <row r="357" spans="2:2" x14ac:dyDescent="0.25">
      <c r="B357" s="52"/>
    </row>
    <row r="358" spans="2:2" x14ac:dyDescent="0.25">
      <c r="B358" s="52"/>
    </row>
    <row r="359" spans="2:2" x14ac:dyDescent="0.25">
      <c r="B359" s="52"/>
    </row>
    <row r="360" spans="2:2" x14ac:dyDescent="0.25">
      <c r="B360" s="52"/>
    </row>
    <row r="361" spans="2:2" x14ac:dyDescent="0.25">
      <c r="B361" s="52"/>
    </row>
    <row r="362" spans="2:2" x14ac:dyDescent="0.25">
      <c r="B362" s="52"/>
    </row>
    <row r="363" spans="2:2" x14ac:dyDescent="0.25">
      <c r="B363" s="52"/>
    </row>
    <row r="364" spans="2:2" x14ac:dyDescent="0.25">
      <c r="B364" s="52"/>
    </row>
    <row r="365" spans="2:2" x14ac:dyDescent="0.25">
      <c r="B365" s="52"/>
    </row>
    <row r="366" spans="2:2" x14ac:dyDescent="0.25">
      <c r="B366" s="52"/>
    </row>
    <row r="367" spans="2:2" x14ac:dyDescent="0.25">
      <c r="B367" s="52"/>
    </row>
    <row r="368" spans="2:2" x14ac:dyDescent="0.25">
      <c r="B368" s="52"/>
    </row>
    <row r="369" spans="2:2" x14ac:dyDescent="0.25">
      <c r="B369" s="52"/>
    </row>
    <row r="370" spans="2:2" x14ac:dyDescent="0.25">
      <c r="B370" s="52"/>
    </row>
    <row r="371" spans="2:2" x14ac:dyDescent="0.25">
      <c r="B371" s="52"/>
    </row>
    <row r="372" spans="2:2" x14ac:dyDescent="0.25">
      <c r="B372" s="52"/>
    </row>
    <row r="373" spans="2:2" x14ac:dyDescent="0.25">
      <c r="B373" s="52"/>
    </row>
    <row r="374" spans="2:2" x14ac:dyDescent="0.25">
      <c r="B374" s="52"/>
    </row>
    <row r="375" spans="2:2" x14ac:dyDescent="0.25">
      <c r="B375" s="52"/>
    </row>
    <row r="376" spans="2:2" x14ac:dyDescent="0.25">
      <c r="B376" s="52"/>
    </row>
    <row r="377" spans="2:2" x14ac:dyDescent="0.25">
      <c r="B377" s="52"/>
    </row>
    <row r="378" spans="2:2" x14ac:dyDescent="0.25">
      <c r="B378" s="52"/>
    </row>
    <row r="379" spans="2:2" x14ac:dyDescent="0.25">
      <c r="B379" s="52"/>
    </row>
    <row r="380" spans="2:2" x14ac:dyDescent="0.25">
      <c r="B380" s="52"/>
    </row>
    <row r="381" spans="2:2" x14ac:dyDescent="0.25">
      <c r="B381" s="52"/>
    </row>
    <row r="382" spans="2:2" x14ac:dyDescent="0.25">
      <c r="B382" s="52"/>
    </row>
    <row r="383" spans="2:2" x14ac:dyDescent="0.25">
      <c r="B383" s="52"/>
    </row>
    <row r="384" spans="2:2" x14ac:dyDescent="0.25">
      <c r="B384" s="52"/>
    </row>
    <row r="385" spans="2:2" x14ac:dyDescent="0.25">
      <c r="B385" s="52"/>
    </row>
    <row r="386" spans="2:2" x14ac:dyDescent="0.25">
      <c r="B386" s="52"/>
    </row>
    <row r="387" spans="2:2" x14ac:dyDescent="0.25">
      <c r="B387" s="52"/>
    </row>
    <row r="388" spans="2:2" x14ac:dyDescent="0.25">
      <c r="B388" s="52"/>
    </row>
    <row r="389" spans="2:2" x14ac:dyDescent="0.25">
      <c r="B389" s="52"/>
    </row>
    <row r="390" spans="2:2" x14ac:dyDescent="0.25">
      <c r="B390" s="52"/>
    </row>
    <row r="391" spans="2:2" x14ac:dyDescent="0.25">
      <c r="B391" s="52"/>
    </row>
    <row r="392" spans="2:2" x14ac:dyDescent="0.25">
      <c r="B392" s="52"/>
    </row>
    <row r="393" spans="2:2" x14ac:dyDescent="0.25">
      <c r="B393" s="52"/>
    </row>
    <row r="394" spans="2:2" x14ac:dyDescent="0.25">
      <c r="B394" s="52"/>
    </row>
    <row r="395" spans="2:2" x14ac:dyDescent="0.25">
      <c r="B395" s="52"/>
    </row>
    <row r="396" spans="2:2" x14ac:dyDescent="0.25">
      <c r="B396" s="52"/>
    </row>
    <row r="397" spans="2:2" x14ac:dyDescent="0.25">
      <c r="B397" s="52"/>
    </row>
    <row r="398" spans="2:2" x14ac:dyDescent="0.25">
      <c r="B398" s="52"/>
    </row>
    <row r="399" spans="2:2" x14ac:dyDescent="0.25">
      <c r="B399" s="52"/>
    </row>
    <row r="400" spans="2:2" x14ac:dyDescent="0.25">
      <c r="B400" s="52"/>
    </row>
    <row r="401" spans="2:2" x14ac:dyDescent="0.25">
      <c r="B401" s="52"/>
    </row>
    <row r="402" spans="2:2" x14ac:dyDescent="0.25">
      <c r="B402" s="52"/>
    </row>
    <row r="403" spans="2:2" x14ac:dyDescent="0.25">
      <c r="B403" s="52"/>
    </row>
    <row r="404" spans="2:2" x14ac:dyDescent="0.25">
      <c r="B404" s="52"/>
    </row>
    <row r="405" spans="2:2" x14ac:dyDescent="0.25">
      <c r="B405" s="52"/>
    </row>
    <row r="406" spans="2:2" x14ac:dyDescent="0.25">
      <c r="B406" s="52"/>
    </row>
    <row r="407" spans="2:2" x14ac:dyDescent="0.25">
      <c r="B407" s="52"/>
    </row>
    <row r="408" spans="2:2" x14ac:dyDescent="0.25">
      <c r="B408" s="52"/>
    </row>
    <row r="409" spans="2:2" x14ac:dyDescent="0.25">
      <c r="B409" s="52"/>
    </row>
    <row r="410" spans="2:2" x14ac:dyDescent="0.25">
      <c r="B410" s="52"/>
    </row>
    <row r="411" spans="2:2" x14ac:dyDescent="0.25">
      <c r="B411" s="52"/>
    </row>
    <row r="412" spans="2:2" x14ac:dyDescent="0.25">
      <c r="B412" s="52"/>
    </row>
    <row r="413" spans="2:2" x14ac:dyDescent="0.25">
      <c r="B413" s="52"/>
    </row>
    <row r="414" spans="2:2" x14ac:dyDescent="0.25">
      <c r="B414" s="52"/>
    </row>
    <row r="415" spans="2:2" x14ac:dyDescent="0.25">
      <c r="B415" s="52"/>
    </row>
    <row r="416" spans="2:2" x14ac:dyDescent="0.25">
      <c r="B416" s="52"/>
    </row>
    <row r="417" spans="2:2" x14ac:dyDescent="0.25">
      <c r="B417" s="52"/>
    </row>
    <row r="418" spans="2:2" x14ac:dyDescent="0.25">
      <c r="B418" s="52"/>
    </row>
    <row r="419" spans="2:2" x14ac:dyDescent="0.25">
      <c r="B419" s="52"/>
    </row>
    <row r="420" spans="2:2" x14ac:dyDescent="0.25">
      <c r="B420" s="52"/>
    </row>
    <row r="421" spans="2:2" x14ac:dyDescent="0.25">
      <c r="B421" s="52"/>
    </row>
    <row r="422" spans="2:2" x14ac:dyDescent="0.25">
      <c r="B422" s="52"/>
    </row>
    <row r="423" spans="2:2" x14ac:dyDescent="0.25">
      <c r="B423" s="52"/>
    </row>
    <row r="424" spans="2:2" x14ac:dyDescent="0.25">
      <c r="B424" s="52"/>
    </row>
    <row r="425" spans="2:2" x14ac:dyDescent="0.25">
      <c r="B425" s="52"/>
    </row>
    <row r="426" spans="2:2" x14ac:dyDescent="0.25">
      <c r="B426" s="52"/>
    </row>
    <row r="427" spans="2:2" x14ac:dyDescent="0.25">
      <c r="B427" s="52"/>
    </row>
    <row r="428" spans="2:2" x14ac:dyDescent="0.25">
      <c r="B428" s="52"/>
    </row>
    <row r="429" spans="2:2" x14ac:dyDescent="0.25">
      <c r="B429" s="52"/>
    </row>
    <row r="430" spans="2:2" x14ac:dyDescent="0.25">
      <c r="B430" s="52"/>
    </row>
    <row r="431" spans="2:2" x14ac:dyDescent="0.25">
      <c r="B431" s="52"/>
    </row>
    <row r="432" spans="2:2" x14ac:dyDescent="0.25">
      <c r="B432" s="52"/>
    </row>
    <row r="433" spans="2:2" x14ac:dyDescent="0.25">
      <c r="B433" s="52"/>
    </row>
    <row r="434" spans="2:2" x14ac:dyDescent="0.25">
      <c r="B434" s="52"/>
    </row>
    <row r="435" spans="2:2" x14ac:dyDescent="0.25">
      <c r="B435" s="52"/>
    </row>
    <row r="436" spans="2:2" x14ac:dyDescent="0.25">
      <c r="B436" s="52"/>
    </row>
    <row r="437" spans="2:2" x14ac:dyDescent="0.25">
      <c r="B437" s="52"/>
    </row>
    <row r="438" spans="2:2" x14ac:dyDescent="0.25">
      <c r="B438" s="52"/>
    </row>
    <row r="439" spans="2:2" x14ac:dyDescent="0.25">
      <c r="B439" s="52"/>
    </row>
    <row r="440" spans="2:2" x14ac:dyDescent="0.25">
      <c r="B440" s="52"/>
    </row>
    <row r="441" spans="2:2" x14ac:dyDescent="0.25">
      <c r="B441" s="52"/>
    </row>
    <row r="442" spans="2:2" x14ac:dyDescent="0.25">
      <c r="B442" s="52"/>
    </row>
    <row r="443" spans="2:2" x14ac:dyDescent="0.25">
      <c r="B443" s="52"/>
    </row>
    <row r="444" spans="2:2" x14ac:dyDescent="0.25">
      <c r="B444" s="52"/>
    </row>
    <row r="445" spans="2:2" x14ac:dyDescent="0.25">
      <c r="B445" s="52"/>
    </row>
    <row r="446" spans="2:2" x14ac:dyDescent="0.25">
      <c r="B446" s="52"/>
    </row>
    <row r="447" spans="2:2" x14ac:dyDescent="0.25">
      <c r="B447" s="52"/>
    </row>
    <row r="448" spans="2:2" x14ac:dyDescent="0.25">
      <c r="B448" s="52"/>
    </row>
    <row r="449" spans="2:2" x14ac:dyDescent="0.25">
      <c r="B449" s="52"/>
    </row>
    <row r="450" spans="2:2" x14ac:dyDescent="0.25">
      <c r="B450" s="52"/>
    </row>
    <row r="451" spans="2:2" x14ac:dyDescent="0.25">
      <c r="B451" s="52"/>
    </row>
    <row r="452" spans="2:2" x14ac:dyDescent="0.25">
      <c r="B452" s="52"/>
    </row>
    <row r="453" spans="2:2" x14ac:dyDescent="0.25">
      <c r="B453" s="52"/>
    </row>
    <row r="454" spans="2:2" x14ac:dyDescent="0.25">
      <c r="B454" s="52"/>
    </row>
    <row r="455" spans="2:2" x14ac:dyDescent="0.25">
      <c r="B455" s="52"/>
    </row>
    <row r="456" spans="2:2" x14ac:dyDescent="0.25">
      <c r="B456" s="52"/>
    </row>
    <row r="457" spans="2:2" x14ac:dyDescent="0.25">
      <c r="B457" s="52"/>
    </row>
    <row r="458" spans="2:2" x14ac:dyDescent="0.25">
      <c r="B458" s="52"/>
    </row>
    <row r="459" spans="2:2" x14ac:dyDescent="0.25">
      <c r="B459" s="52"/>
    </row>
    <row r="460" spans="2:2" x14ac:dyDescent="0.25">
      <c r="B460" s="52"/>
    </row>
    <row r="461" spans="2:2" x14ac:dyDescent="0.25">
      <c r="B461" s="52"/>
    </row>
    <row r="462" spans="2:2" x14ac:dyDescent="0.25">
      <c r="B462" s="52"/>
    </row>
    <row r="463" spans="2:2" x14ac:dyDescent="0.25">
      <c r="B463" s="52"/>
    </row>
    <row r="464" spans="2:2" x14ac:dyDescent="0.25">
      <c r="B464" s="52"/>
    </row>
    <row r="465" spans="2:2" x14ac:dyDescent="0.25">
      <c r="B465" s="52"/>
    </row>
    <row r="466" spans="2:2" x14ac:dyDescent="0.25">
      <c r="B466" s="52"/>
    </row>
    <row r="467" spans="2:2" x14ac:dyDescent="0.25">
      <c r="B467" s="52"/>
    </row>
    <row r="468" spans="2:2" x14ac:dyDescent="0.25">
      <c r="B468" s="52"/>
    </row>
    <row r="469" spans="2:2" x14ac:dyDescent="0.25">
      <c r="B469" s="52"/>
    </row>
    <row r="470" spans="2:2" x14ac:dyDescent="0.25">
      <c r="B470" s="52"/>
    </row>
    <row r="471" spans="2:2" x14ac:dyDescent="0.25">
      <c r="B471" s="52"/>
    </row>
    <row r="472" spans="2:2" x14ac:dyDescent="0.25">
      <c r="B472" s="52"/>
    </row>
    <row r="473" spans="2:2" x14ac:dyDescent="0.25">
      <c r="B473" s="52"/>
    </row>
    <row r="474" spans="2:2" x14ac:dyDescent="0.25">
      <c r="B474" s="52"/>
    </row>
    <row r="475" spans="2:2" x14ac:dyDescent="0.25">
      <c r="B475" s="52"/>
    </row>
    <row r="476" spans="2:2" x14ac:dyDescent="0.25">
      <c r="B476" s="52"/>
    </row>
    <row r="477" spans="2:2" x14ac:dyDescent="0.25">
      <c r="B477" s="52"/>
    </row>
    <row r="478" spans="2:2" x14ac:dyDescent="0.25">
      <c r="B478" s="52"/>
    </row>
    <row r="479" spans="2:2" x14ac:dyDescent="0.25">
      <c r="B479" s="52"/>
    </row>
    <row r="480" spans="2:2" x14ac:dyDescent="0.25">
      <c r="B480" s="52"/>
    </row>
    <row r="481" spans="2:2" x14ac:dyDescent="0.25">
      <c r="B481" s="52"/>
    </row>
    <row r="482" spans="2:2" x14ac:dyDescent="0.25">
      <c r="B482" s="52"/>
    </row>
    <row r="483" spans="2:2" x14ac:dyDescent="0.25">
      <c r="B483" s="52"/>
    </row>
    <row r="484" spans="2:2" x14ac:dyDescent="0.25">
      <c r="B484" s="52"/>
    </row>
    <row r="485" spans="2:2" x14ac:dyDescent="0.25">
      <c r="B485" s="52"/>
    </row>
    <row r="486" spans="2:2" x14ac:dyDescent="0.25">
      <c r="B486" s="52"/>
    </row>
    <row r="487" spans="2:2" x14ac:dyDescent="0.25">
      <c r="B487" s="52"/>
    </row>
    <row r="488" spans="2:2" x14ac:dyDescent="0.25">
      <c r="B488" s="52"/>
    </row>
    <row r="489" spans="2:2" x14ac:dyDescent="0.25">
      <c r="B489" s="52"/>
    </row>
    <row r="490" spans="2:2" x14ac:dyDescent="0.25">
      <c r="B490" s="52"/>
    </row>
    <row r="491" spans="2:2" x14ac:dyDescent="0.25">
      <c r="B491" s="52"/>
    </row>
    <row r="492" spans="2:2" x14ac:dyDescent="0.25">
      <c r="B492" s="52"/>
    </row>
    <row r="493" spans="2:2" x14ac:dyDescent="0.25">
      <c r="B493" s="52"/>
    </row>
    <row r="494" spans="2:2" x14ac:dyDescent="0.25">
      <c r="B494" s="52"/>
    </row>
    <row r="495" spans="2:2" x14ac:dyDescent="0.25">
      <c r="B495" s="52"/>
    </row>
    <row r="496" spans="2:2" x14ac:dyDescent="0.25">
      <c r="B496" s="52"/>
    </row>
    <row r="497" spans="2:2" x14ac:dyDescent="0.25">
      <c r="B497" s="52"/>
    </row>
    <row r="498" spans="2:2" x14ac:dyDescent="0.25">
      <c r="B498" s="52"/>
    </row>
    <row r="499" spans="2:2" x14ac:dyDescent="0.25">
      <c r="B499" s="52"/>
    </row>
    <row r="500" spans="2:2" x14ac:dyDescent="0.25">
      <c r="B500" s="52"/>
    </row>
    <row r="501" spans="2:2" x14ac:dyDescent="0.25">
      <c r="B501" s="52"/>
    </row>
    <row r="502" spans="2:2" x14ac:dyDescent="0.25">
      <c r="B502" s="52"/>
    </row>
    <row r="503" spans="2:2" x14ac:dyDescent="0.25">
      <c r="B503" s="52"/>
    </row>
    <row r="504" spans="2:2" x14ac:dyDescent="0.25">
      <c r="B504" s="52"/>
    </row>
    <row r="505" spans="2:2" x14ac:dyDescent="0.25">
      <c r="B505" s="52"/>
    </row>
    <row r="506" spans="2:2" x14ac:dyDescent="0.25">
      <c r="B506" s="52"/>
    </row>
    <row r="507" spans="2:2" x14ac:dyDescent="0.25">
      <c r="B507" s="52"/>
    </row>
    <row r="508" spans="2:2" x14ac:dyDescent="0.25">
      <c r="B508" s="52"/>
    </row>
    <row r="509" spans="2:2" x14ac:dyDescent="0.25">
      <c r="B509" s="52"/>
    </row>
    <row r="510" spans="2:2" x14ac:dyDescent="0.25">
      <c r="B510" s="52"/>
    </row>
    <row r="511" spans="2:2" x14ac:dyDescent="0.25">
      <c r="B511" s="52"/>
    </row>
    <row r="512" spans="2:2" x14ac:dyDescent="0.25">
      <c r="B512" s="52"/>
    </row>
    <row r="513" spans="2:2" x14ac:dyDescent="0.25">
      <c r="B513" s="52"/>
    </row>
    <row r="514" spans="2:2" x14ac:dyDescent="0.25">
      <c r="B514" s="52"/>
    </row>
    <row r="515" spans="2:2" x14ac:dyDescent="0.25">
      <c r="B515" s="52"/>
    </row>
    <row r="516" spans="2:2" x14ac:dyDescent="0.25">
      <c r="B516" s="52"/>
    </row>
    <row r="517" spans="2:2" x14ac:dyDescent="0.25">
      <c r="B517" s="52"/>
    </row>
    <row r="518" spans="2:2" x14ac:dyDescent="0.25">
      <c r="B518" s="52"/>
    </row>
    <row r="519" spans="2:2" x14ac:dyDescent="0.25">
      <c r="B519" s="52"/>
    </row>
    <row r="520" spans="2:2" x14ac:dyDescent="0.25">
      <c r="B520" s="52"/>
    </row>
    <row r="521" spans="2:2" x14ac:dyDescent="0.25">
      <c r="B521" s="52"/>
    </row>
    <row r="522" spans="2:2" x14ac:dyDescent="0.25">
      <c r="B522" s="52"/>
    </row>
    <row r="523" spans="2:2" x14ac:dyDescent="0.25">
      <c r="B523" s="52"/>
    </row>
    <row r="524" spans="2:2" x14ac:dyDescent="0.25">
      <c r="B524" s="52"/>
    </row>
    <row r="525" spans="2:2" x14ac:dyDescent="0.25">
      <c r="B525" s="52"/>
    </row>
    <row r="526" spans="2:2" x14ac:dyDescent="0.25">
      <c r="B526" s="52"/>
    </row>
    <row r="527" spans="2:2" x14ac:dyDescent="0.25">
      <c r="B527" s="52"/>
    </row>
    <row r="528" spans="2:2" x14ac:dyDescent="0.25">
      <c r="B528" s="52"/>
    </row>
    <row r="529" spans="2:2" x14ac:dyDescent="0.25">
      <c r="B529" s="52"/>
    </row>
    <row r="530" spans="2:2" x14ac:dyDescent="0.25">
      <c r="B530" s="52"/>
    </row>
    <row r="531" spans="2:2" x14ac:dyDescent="0.25">
      <c r="B531" s="52"/>
    </row>
    <row r="532" spans="2:2" x14ac:dyDescent="0.25">
      <c r="B532" s="52"/>
    </row>
    <row r="533" spans="2:2" x14ac:dyDescent="0.25">
      <c r="B533" s="52"/>
    </row>
    <row r="534" spans="2:2" x14ac:dyDescent="0.25">
      <c r="B534" s="52"/>
    </row>
    <row r="535" spans="2:2" x14ac:dyDescent="0.25">
      <c r="B535" s="52"/>
    </row>
    <row r="536" spans="2:2" x14ac:dyDescent="0.25">
      <c r="B536" s="52"/>
    </row>
    <row r="537" spans="2:2" x14ac:dyDescent="0.25">
      <c r="B537" s="52"/>
    </row>
    <row r="538" spans="2:2" x14ac:dyDescent="0.25">
      <c r="B538" s="52"/>
    </row>
    <row r="539" spans="2:2" x14ac:dyDescent="0.25">
      <c r="B539" s="52"/>
    </row>
    <row r="540" spans="2:2" x14ac:dyDescent="0.25">
      <c r="B540" s="52"/>
    </row>
    <row r="541" spans="2:2" x14ac:dyDescent="0.25">
      <c r="B541" s="52"/>
    </row>
    <row r="542" spans="2:2" x14ac:dyDescent="0.25">
      <c r="B542" s="52"/>
    </row>
    <row r="543" spans="2:2" x14ac:dyDescent="0.25">
      <c r="B543" s="52"/>
    </row>
    <row r="544" spans="2:2" x14ac:dyDescent="0.25">
      <c r="B544" s="52"/>
    </row>
    <row r="545" spans="2:2" x14ac:dyDescent="0.25">
      <c r="B545" s="52"/>
    </row>
    <row r="546" spans="2:2" x14ac:dyDescent="0.25">
      <c r="B546" s="52"/>
    </row>
    <row r="547" spans="2:2" x14ac:dyDescent="0.25">
      <c r="B547" s="52"/>
    </row>
    <row r="548" spans="2:2" x14ac:dyDescent="0.25">
      <c r="B548" s="52"/>
    </row>
    <row r="549" spans="2:2" x14ac:dyDescent="0.25">
      <c r="B549" s="52"/>
    </row>
    <row r="550" spans="2:2" x14ac:dyDescent="0.25">
      <c r="B550" s="52"/>
    </row>
    <row r="551" spans="2:2" x14ac:dyDescent="0.25">
      <c r="B551" s="52"/>
    </row>
    <row r="552" spans="2:2" x14ac:dyDescent="0.25">
      <c r="B552" s="52"/>
    </row>
    <row r="553" spans="2:2" x14ac:dyDescent="0.25">
      <c r="B553" s="52"/>
    </row>
    <row r="554" spans="2:2" x14ac:dyDescent="0.25">
      <c r="B554" s="52"/>
    </row>
    <row r="555" spans="2:2" x14ac:dyDescent="0.25">
      <c r="B555" s="52"/>
    </row>
    <row r="556" spans="2:2" x14ac:dyDescent="0.25">
      <c r="B556" s="52"/>
    </row>
    <row r="557" spans="2:2" x14ac:dyDescent="0.25">
      <c r="B557" s="52"/>
    </row>
    <row r="558" spans="2:2" x14ac:dyDescent="0.25">
      <c r="B558" s="52"/>
    </row>
    <row r="559" spans="2:2" x14ac:dyDescent="0.25">
      <c r="B559" s="52"/>
    </row>
    <row r="560" spans="2:2" x14ac:dyDescent="0.25">
      <c r="B560" s="52"/>
    </row>
    <row r="561" spans="2:2" x14ac:dyDescent="0.25">
      <c r="B561" s="52"/>
    </row>
    <row r="562" spans="2:2" x14ac:dyDescent="0.25">
      <c r="B562" s="52"/>
    </row>
    <row r="563" spans="2:2" x14ac:dyDescent="0.25">
      <c r="B563" s="52"/>
    </row>
    <row r="564" spans="2:2" x14ac:dyDescent="0.25">
      <c r="B564" s="52"/>
    </row>
    <row r="565" spans="2:2" x14ac:dyDescent="0.25">
      <c r="B565" s="52"/>
    </row>
    <row r="566" spans="2:2" x14ac:dyDescent="0.25">
      <c r="B566" s="52"/>
    </row>
    <row r="567" spans="2:2" x14ac:dyDescent="0.25">
      <c r="B567" s="52"/>
    </row>
    <row r="568" spans="2:2" x14ac:dyDescent="0.25">
      <c r="B568" s="52"/>
    </row>
    <row r="569" spans="2:2" x14ac:dyDescent="0.25">
      <c r="B569" s="52"/>
    </row>
    <row r="570" spans="2:2" x14ac:dyDescent="0.25">
      <c r="B570" s="52"/>
    </row>
    <row r="571" spans="2:2" x14ac:dyDescent="0.25">
      <c r="B571" s="52"/>
    </row>
    <row r="572" spans="2:2" x14ac:dyDescent="0.25">
      <c r="B572" s="52"/>
    </row>
    <row r="573" spans="2:2" x14ac:dyDescent="0.25">
      <c r="B573" s="52"/>
    </row>
    <row r="574" spans="2:2" x14ac:dyDescent="0.25">
      <c r="B574" s="52"/>
    </row>
    <row r="575" spans="2:2" x14ac:dyDescent="0.25">
      <c r="B575" s="52"/>
    </row>
    <row r="576" spans="2:2" x14ac:dyDescent="0.25">
      <c r="B576" s="52"/>
    </row>
    <row r="577" spans="2:2" x14ac:dyDescent="0.25">
      <c r="B577" s="52"/>
    </row>
    <row r="578" spans="2:2" x14ac:dyDescent="0.25">
      <c r="B578" s="52"/>
    </row>
    <row r="579" spans="2:2" x14ac:dyDescent="0.25">
      <c r="B579" s="52"/>
    </row>
    <row r="580" spans="2:2" x14ac:dyDescent="0.25">
      <c r="B580" s="52"/>
    </row>
    <row r="581" spans="2:2" x14ac:dyDescent="0.25">
      <c r="B581" s="52"/>
    </row>
    <row r="582" spans="2:2" x14ac:dyDescent="0.25">
      <c r="B582" s="52"/>
    </row>
    <row r="583" spans="2:2" x14ac:dyDescent="0.25">
      <c r="B583" s="52"/>
    </row>
    <row r="584" spans="2:2" x14ac:dyDescent="0.25">
      <c r="B584" s="52"/>
    </row>
    <row r="585" spans="2:2" x14ac:dyDescent="0.25">
      <c r="B585" s="52"/>
    </row>
    <row r="586" spans="2:2" x14ac:dyDescent="0.25">
      <c r="B586" s="52"/>
    </row>
    <row r="587" spans="2:2" x14ac:dyDescent="0.25">
      <c r="B587" s="52"/>
    </row>
    <row r="588" spans="2:2" x14ac:dyDescent="0.25">
      <c r="B588" s="52"/>
    </row>
    <row r="589" spans="2:2" x14ac:dyDescent="0.25">
      <c r="B589" s="52"/>
    </row>
    <row r="590" spans="2:2" x14ac:dyDescent="0.25">
      <c r="B590" s="52"/>
    </row>
    <row r="591" spans="2:2" x14ac:dyDescent="0.25">
      <c r="B591" s="52"/>
    </row>
    <row r="592" spans="2:2" x14ac:dyDescent="0.25">
      <c r="B592" s="52"/>
    </row>
    <row r="593" spans="2:2" x14ac:dyDescent="0.25">
      <c r="B593" s="52"/>
    </row>
    <row r="594" spans="2:2" x14ac:dyDescent="0.25">
      <c r="B594" s="52"/>
    </row>
    <row r="595" spans="2:2" x14ac:dyDescent="0.25">
      <c r="B595" s="52"/>
    </row>
    <row r="596" spans="2:2" x14ac:dyDescent="0.25">
      <c r="B596" s="52"/>
    </row>
    <row r="597" spans="2:2" x14ac:dyDescent="0.25">
      <c r="B597" s="52"/>
    </row>
    <row r="598" spans="2:2" x14ac:dyDescent="0.25">
      <c r="B598" s="52"/>
    </row>
    <row r="599" spans="2:2" x14ac:dyDescent="0.25">
      <c r="B599" s="52"/>
    </row>
    <row r="600" spans="2:2" x14ac:dyDescent="0.25">
      <c r="B600" s="52"/>
    </row>
    <row r="601" spans="2:2" x14ac:dyDescent="0.25">
      <c r="B601" s="52"/>
    </row>
    <row r="602" spans="2:2" x14ac:dyDescent="0.25">
      <c r="B602" s="52"/>
    </row>
    <row r="603" spans="2:2" x14ac:dyDescent="0.25">
      <c r="B603" s="52"/>
    </row>
    <row r="604" spans="2:2" x14ac:dyDescent="0.25">
      <c r="B604" s="52"/>
    </row>
    <row r="605" spans="2:2" x14ac:dyDescent="0.25">
      <c r="B605" s="52"/>
    </row>
    <row r="606" spans="2:2" x14ac:dyDescent="0.25">
      <c r="B606" s="52"/>
    </row>
    <row r="607" spans="2:2" x14ac:dyDescent="0.25">
      <c r="B607" s="52"/>
    </row>
    <row r="608" spans="2:2" x14ac:dyDescent="0.25">
      <c r="B608" s="52"/>
    </row>
    <row r="609" spans="2:2" x14ac:dyDescent="0.25">
      <c r="B609" s="52"/>
    </row>
    <row r="610" spans="2:2" x14ac:dyDescent="0.25">
      <c r="B610" s="52"/>
    </row>
    <row r="611" spans="2:2" x14ac:dyDescent="0.25">
      <c r="B611" s="52"/>
    </row>
    <row r="612" spans="2:2" x14ac:dyDescent="0.25">
      <c r="B612" s="52"/>
    </row>
    <row r="613" spans="2:2" x14ac:dyDescent="0.25">
      <c r="B613" s="52"/>
    </row>
    <row r="614" spans="2:2" x14ac:dyDescent="0.25">
      <c r="B614" s="52"/>
    </row>
    <row r="615" spans="2:2" x14ac:dyDescent="0.25">
      <c r="B615" s="52"/>
    </row>
    <row r="616" spans="2:2" x14ac:dyDescent="0.25">
      <c r="B616" s="52"/>
    </row>
    <row r="617" spans="2:2" x14ac:dyDescent="0.25">
      <c r="B617" s="52"/>
    </row>
    <row r="618" spans="2:2" x14ac:dyDescent="0.25">
      <c r="B618" s="52"/>
    </row>
    <row r="619" spans="2:2" x14ac:dyDescent="0.25">
      <c r="B619" s="52"/>
    </row>
    <row r="620" spans="2:2" x14ac:dyDescent="0.25">
      <c r="B620" s="52"/>
    </row>
    <row r="621" spans="2:2" x14ac:dyDescent="0.25">
      <c r="B621" s="52"/>
    </row>
    <row r="622" spans="2:2" x14ac:dyDescent="0.25">
      <c r="B622" s="52"/>
    </row>
    <row r="623" spans="2:2" x14ac:dyDescent="0.25">
      <c r="B623" s="52"/>
    </row>
    <row r="624" spans="2:2" x14ac:dyDescent="0.25">
      <c r="B624" s="52"/>
    </row>
    <row r="625" spans="2:2" x14ac:dyDescent="0.25">
      <c r="B625" s="52"/>
    </row>
    <row r="626" spans="2:2" x14ac:dyDescent="0.25">
      <c r="B626" s="52"/>
    </row>
    <row r="627" spans="2:2" x14ac:dyDescent="0.25">
      <c r="B627" s="52"/>
    </row>
    <row r="628" spans="2:2" x14ac:dyDescent="0.25">
      <c r="B628" s="52"/>
    </row>
    <row r="629" spans="2:2" x14ac:dyDescent="0.25">
      <c r="B629" s="52"/>
    </row>
    <row r="630" spans="2:2" x14ac:dyDescent="0.25">
      <c r="B630" s="52"/>
    </row>
    <row r="631" spans="2:2" x14ac:dyDescent="0.25">
      <c r="B631" s="52"/>
    </row>
    <row r="632" spans="2:2" x14ac:dyDescent="0.25">
      <c r="B632" s="52"/>
    </row>
    <row r="633" spans="2:2" x14ac:dyDescent="0.25">
      <c r="B633" s="52"/>
    </row>
    <row r="634" spans="2:2" x14ac:dyDescent="0.25">
      <c r="B634" s="52"/>
    </row>
    <row r="635" spans="2:2" x14ac:dyDescent="0.25">
      <c r="B635" s="52"/>
    </row>
    <row r="636" spans="2:2" x14ac:dyDescent="0.25">
      <c r="B636" s="52"/>
    </row>
    <row r="637" spans="2:2" x14ac:dyDescent="0.25">
      <c r="B637" s="52"/>
    </row>
    <row r="638" spans="2:2" x14ac:dyDescent="0.25">
      <c r="B638" s="52"/>
    </row>
    <row r="639" spans="2:2" x14ac:dyDescent="0.25">
      <c r="B639" s="52"/>
    </row>
    <row r="640" spans="2:2" x14ac:dyDescent="0.25">
      <c r="B640" s="52"/>
    </row>
    <row r="641" spans="2:2" x14ac:dyDescent="0.25">
      <c r="B641" s="52"/>
    </row>
    <row r="642" spans="2:2" x14ac:dyDescent="0.25">
      <c r="B642" s="52"/>
    </row>
    <row r="643" spans="2:2" x14ac:dyDescent="0.25">
      <c r="B643" s="52"/>
    </row>
    <row r="644" spans="2:2" x14ac:dyDescent="0.25">
      <c r="B644" s="52"/>
    </row>
    <row r="645" spans="2:2" x14ac:dyDescent="0.25">
      <c r="B645" s="52"/>
    </row>
    <row r="646" spans="2:2" x14ac:dyDescent="0.25">
      <c r="B646" s="52"/>
    </row>
    <row r="647" spans="2:2" x14ac:dyDescent="0.25">
      <c r="B647" s="52"/>
    </row>
    <row r="648" spans="2:2" x14ac:dyDescent="0.25">
      <c r="B648" s="52"/>
    </row>
    <row r="649" spans="2:2" x14ac:dyDescent="0.25">
      <c r="B649" s="52"/>
    </row>
    <row r="650" spans="2:2" x14ac:dyDescent="0.25">
      <c r="B650" s="52"/>
    </row>
    <row r="651" spans="2:2" x14ac:dyDescent="0.25">
      <c r="B651" s="52"/>
    </row>
    <row r="652" spans="2:2" x14ac:dyDescent="0.25">
      <c r="B652" s="52"/>
    </row>
    <row r="653" spans="2:2" x14ac:dyDescent="0.25">
      <c r="B653" s="52"/>
    </row>
    <row r="654" spans="2:2" x14ac:dyDescent="0.25">
      <c r="B654" s="52"/>
    </row>
    <row r="655" spans="2:2" x14ac:dyDescent="0.25">
      <c r="B655" s="52"/>
    </row>
    <row r="656" spans="2:2" x14ac:dyDescent="0.25">
      <c r="B656" s="52"/>
    </row>
    <row r="657" spans="2:2" x14ac:dyDescent="0.25">
      <c r="B657" s="52"/>
    </row>
    <row r="658" spans="2:2" x14ac:dyDescent="0.25">
      <c r="B658" s="52"/>
    </row>
    <row r="659" spans="2:2" x14ac:dyDescent="0.25">
      <c r="B659" s="52"/>
    </row>
    <row r="660" spans="2:2" x14ac:dyDescent="0.25">
      <c r="B660" s="52"/>
    </row>
    <row r="661" spans="2:2" x14ac:dyDescent="0.25">
      <c r="B661" s="52"/>
    </row>
    <row r="662" spans="2:2" x14ac:dyDescent="0.25">
      <c r="B662" s="52"/>
    </row>
    <row r="663" spans="2:2" x14ac:dyDescent="0.25">
      <c r="B663" s="52"/>
    </row>
    <row r="664" spans="2:2" x14ac:dyDescent="0.25">
      <c r="B664" s="52"/>
    </row>
    <row r="665" spans="2:2" x14ac:dyDescent="0.25">
      <c r="B665" s="52"/>
    </row>
    <row r="666" spans="2:2" x14ac:dyDescent="0.25">
      <c r="B666" s="52"/>
    </row>
    <row r="667" spans="2:2" x14ac:dyDescent="0.25">
      <c r="B667" s="52"/>
    </row>
    <row r="668" spans="2:2" x14ac:dyDescent="0.25">
      <c r="B668" s="52"/>
    </row>
    <row r="669" spans="2:2" x14ac:dyDescent="0.25">
      <c r="B669" s="52"/>
    </row>
    <row r="670" spans="2:2" x14ac:dyDescent="0.25">
      <c r="B670" s="52"/>
    </row>
    <row r="671" spans="2:2" x14ac:dyDescent="0.25">
      <c r="B671" s="52"/>
    </row>
    <row r="672" spans="2:2" x14ac:dyDescent="0.25">
      <c r="B672" s="52"/>
    </row>
    <row r="673" spans="2:2" x14ac:dyDescent="0.25">
      <c r="B673" s="52"/>
    </row>
    <row r="674" spans="2:2" x14ac:dyDescent="0.25">
      <c r="B674" s="52"/>
    </row>
    <row r="675" spans="2:2" x14ac:dyDescent="0.25">
      <c r="B675" s="52"/>
    </row>
    <row r="676" spans="2:2" x14ac:dyDescent="0.25">
      <c r="B676" s="52"/>
    </row>
    <row r="677" spans="2:2" x14ac:dyDescent="0.25">
      <c r="B677" s="52"/>
    </row>
    <row r="678" spans="2:2" x14ac:dyDescent="0.25">
      <c r="B678" s="52"/>
    </row>
    <row r="679" spans="2:2" x14ac:dyDescent="0.25">
      <c r="B679" s="52"/>
    </row>
    <row r="680" spans="2:2" x14ac:dyDescent="0.25">
      <c r="B680" s="52"/>
    </row>
    <row r="681" spans="2:2" x14ac:dyDescent="0.25">
      <c r="B681" s="52"/>
    </row>
    <row r="682" spans="2:2" x14ac:dyDescent="0.25">
      <c r="B682" s="52"/>
    </row>
    <row r="683" spans="2:2" x14ac:dyDescent="0.25">
      <c r="B683" s="52"/>
    </row>
    <row r="684" spans="2:2" x14ac:dyDescent="0.25">
      <c r="B684" s="52"/>
    </row>
    <row r="685" spans="2:2" x14ac:dyDescent="0.25">
      <c r="B685" s="52"/>
    </row>
    <row r="686" spans="2:2" x14ac:dyDescent="0.25">
      <c r="B686" s="52"/>
    </row>
    <row r="687" spans="2:2" x14ac:dyDescent="0.25">
      <c r="B687" s="52"/>
    </row>
    <row r="688" spans="2:2" x14ac:dyDescent="0.25">
      <c r="B688" s="52"/>
    </row>
    <row r="689" spans="2:2" x14ac:dyDescent="0.25">
      <c r="B689" s="52"/>
    </row>
    <row r="690" spans="2:2" x14ac:dyDescent="0.25">
      <c r="B690" s="52"/>
    </row>
    <row r="691" spans="2:2" x14ac:dyDescent="0.25">
      <c r="B691" s="52"/>
    </row>
    <row r="692" spans="2:2" x14ac:dyDescent="0.25">
      <c r="B692" s="52"/>
    </row>
    <row r="693" spans="2:2" x14ac:dyDescent="0.25">
      <c r="B693" s="52"/>
    </row>
    <row r="694" spans="2:2" x14ac:dyDescent="0.25">
      <c r="B694" s="52"/>
    </row>
    <row r="695" spans="2:2" x14ac:dyDescent="0.25">
      <c r="B695" s="52"/>
    </row>
    <row r="696" spans="2:2" x14ac:dyDescent="0.25">
      <c r="B696" s="52"/>
    </row>
    <row r="697" spans="2:2" x14ac:dyDescent="0.25">
      <c r="B697" s="52"/>
    </row>
    <row r="698" spans="2:2" x14ac:dyDescent="0.25">
      <c r="B698" s="52"/>
    </row>
    <row r="699" spans="2:2" x14ac:dyDescent="0.25">
      <c r="B699" s="52"/>
    </row>
    <row r="700" spans="2:2" x14ac:dyDescent="0.25">
      <c r="B700" s="52"/>
    </row>
    <row r="701" spans="2:2" x14ac:dyDescent="0.25">
      <c r="B701" s="52"/>
    </row>
    <row r="702" spans="2:2" x14ac:dyDescent="0.25">
      <c r="B702" s="52"/>
    </row>
    <row r="703" spans="2:2" x14ac:dyDescent="0.25">
      <c r="B703" s="52"/>
    </row>
    <row r="704" spans="2:2" x14ac:dyDescent="0.25">
      <c r="B704" s="52"/>
    </row>
    <row r="705" spans="2:2" x14ac:dyDescent="0.25">
      <c r="B705" s="52"/>
    </row>
    <row r="706" spans="2:2" x14ac:dyDescent="0.25">
      <c r="B706" s="52"/>
    </row>
    <row r="707" spans="2:2" x14ac:dyDescent="0.25">
      <c r="B707" s="52"/>
    </row>
    <row r="708" spans="2:2" x14ac:dyDescent="0.25">
      <c r="B708" s="52"/>
    </row>
    <row r="709" spans="2:2" x14ac:dyDescent="0.25">
      <c r="B709" s="52"/>
    </row>
    <row r="710" spans="2:2" x14ac:dyDescent="0.25">
      <c r="B710" s="52"/>
    </row>
    <row r="711" spans="2:2" x14ac:dyDescent="0.25">
      <c r="B711" s="52"/>
    </row>
    <row r="712" spans="2:2" x14ac:dyDescent="0.25">
      <c r="B712" s="52"/>
    </row>
    <row r="713" spans="2:2" x14ac:dyDescent="0.25">
      <c r="B713" s="52"/>
    </row>
    <row r="714" spans="2:2" x14ac:dyDescent="0.25">
      <c r="B714" s="52"/>
    </row>
    <row r="715" spans="2:2" x14ac:dyDescent="0.25">
      <c r="B715" s="52"/>
    </row>
    <row r="716" spans="2:2" x14ac:dyDescent="0.25">
      <c r="B716" s="52"/>
    </row>
    <row r="717" spans="2:2" x14ac:dyDescent="0.25">
      <c r="B717" s="52"/>
    </row>
    <row r="718" spans="2:2" x14ac:dyDescent="0.25">
      <c r="B718" s="52"/>
    </row>
    <row r="719" spans="2:2" x14ac:dyDescent="0.25">
      <c r="B719" s="52"/>
    </row>
    <row r="720" spans="2:2" x14ac:dyDescent="0.25">
      <c r="B720" s="52"/>
    </row>
    <row r="721" spans="2:2" x14ac:dyDescent="0.25">
      <c r="B721" s="52"/>
    </row>
    <row r="722" spans="2:2" x14ac:dyDescent="0.25">
      <c r="B722" s="52"/>
    </row>
    <row r="723" spans="2:2" x14ac:dyDescent="0.25">
      <c r="B723" s="52"/>
    </row>
    <row r="724" spans="2:2" x14ac:dyDescent="0.25">
      <c r="B724" s="52"/>
    </row>
    <row r="725" spans="2:2" x14ac:dyDescent="0.25">
      <c r="B725" s="52"/>
    </row>
    <row r="726" spans="2:2" x14ac:dyDescent="0.25">
      <c r="B726" s="52"/>
    </row>
    <row r="727" spans="2:2" x14ac:dyDescent="0.25">
      <c r="B727" s="52"/>
    </row>
    <row r="728" spans="2:2" x14ac:dyDescent="0.25">
      <c r="B728" s="52"/>
    </row>
    <row r="729" spans="2:2" x14ac:dyDescent="0.25">
      <c r="B729" s="52"/>
    </row>
    <row r="730" spans="2:2" x14ac:dyDescent="0.25">
      <c r="B730" s="52"/>
    </row>
    <row r="731" spans="2:2" x14ac:dyDescent="0.25">
      <c r="B731" s="52"/>
    </row>
    <row r="732" spans="2:2" x14ac:dyDescent="0.25">
      <c r="B732" s="52"/>
    </row>
    <row r="733" spans="2:2" x14ac:dyDescent="0.25">
      <c r="B733" s="52"/>
    </row>
    <row r="734" spans="2:2" x14ac:dyDescent="0.25">
      <c r="B734" s="52"/>
    </row>
    <row r="735" spans="2:2" x14ac:dyDescent="0.25">
      <c r="B735" s="52"/>
    </row>
    <row r="736" spans="2:2" x14ac:dyDescent="0.25">
      <c r="B736" s="52"/>
    </row>
    <row r="737" spans="2:2" x14ac:dyDescent="0.25">
      <c r="B737" s="52"/>
    </row>
    <row r="738" spans="2:2" x14ac:dyDescent="0.25">
      <c r="B738" s="52"/>
    </row>
    <row r="739" spans="2:2" x14ac:dyDescent="0.25">
      <c r="B739" s="52"/>
    </row>
    <row r="740" spans="2:2" x14ac:dyDescent="0.25">
      <c r="B740" s="52"/>
    </row>
    <row r="741" spans="2:2" x14ac:dyDescent="0.25">
      <c r="B741" s="52"/>
    </row>
    <row r="742" spans="2:2" x14ac:dyDescent="0.25">
      <c r="B742" s="52"/>
    </row>
    <row r="743" spans="2:2" x14ac:dyDescent="0.25">
      <c r="B743" s="52"/>
    </row>
    <row r="744" spans="2:2" x14ac:dyDescent="0.25">
      <c r="B744" s="52"/>
    </row>
    <row r="745" spans="2:2" x14ac:dyDescent="0.25">
      <c r="B745" s="52"/>
    </row>
    <row r="746" spans="2:2" x14ac:dyDescent="0.25">
      <c r="B746" s="52"/>
    </row>
    <row r="747" spans="2:2" x14ac:dyDescent="0.25">
      <c r="B747" s="52"/>
    </row>
    <row r="748" spans="2:2" x14ac:dyDescent="0.25">
      <c r="B748" s="52"/>
    </row>
    <row r="749" spans="2:2" x14ac:dyDescent="0.25">
      <c r="B749" s="52"/>
    </row>
    <row r="750" spans="2:2" x14ac:dyDescent="0.25">
      <c r="B750" s="52"/>
    </row>
    <row r="751" spans="2:2" x14ac:dyDescent="0.25">
      <c r="B751" s="52"/>
    </row>
    <row r="752" spans="2:2" x14ac:dyDescent="0.25">
      <c r="B752" s="52"/>
    </row>
    <row r="753" spans="2:2" x14ac:dyDescent="0.25">
      <c r="B753" s="52"/>
    </row>
    <row r="754" spans="2:2" x14ac:dyDescent="0.25">
      <c r="B754" s="52"/>
    </row>
    <row r="755" spans="2:2" x14ac:dyDescent="0.25">
      <c r="B755" s="52"/>
    </row>
    <row r="756" spans="2:2" x14ac:dyDescent="0.25">
      <c r="B756" s="52"/>
    </row>
    <row r="757" spans="2:2" x14ac:dyDescent="0.25">
      <c r="B757" s="52"/>
    </row>
    <row r="758" spans="2:2" x14ac:dyDescent="0.25">
      <c r="B758" s="52"/>
    </row>
    <row r="759" spans="2:2" x14ac:dyDescent="0.25">
      <c r="B759" s="52"/>
    </row>
    <row r="760" spans="2:2" x14ac:dyDescent="0.25">
      <c r="B760" s="52"/>
    </row>
    <row r="761" spans="2:2" x14ac:dyDescent="0.25">
      <c r="B761" s="52"/>
    </row>
    <row r="762" spans="2:2" x14ac:dyDescent="0.25">
      <c r="B762" s="52"/>
    </row>
    <row r="763" spans="2:2" x14ac:dyDescent="0.25">
      <c r="B763" s="52"/>
    </row>
    <row r="764" spans="2:2" x14ac:dyDescent="0.25">
      <c r="B764" s="52"/>
    </row>
    <row r="765" spans="2:2" x14ac:dyDescent="0.25">
      <c r="B765" s="52"/>
    </row>
    <row r="766" spans="2:2" x14ac:dyDescent="0.25">
      <c r="B766" s="52"/>
    </row>
    <row r="767" spans="2:2" x14ac:dyDescent="0.25">
      <c r="B767" s="52"/>
    </row>
    <row r="768" spans="2:2" x14ac:dyDescent="0.25">
      <c r="B768" s="52"/>
    </row>
    <row r="769" spans="2:2" x14ac:dyDescent="0.25">
      <c r="B769" s="52"/>
    </row>
    <row r="770" spans="2:2" x14ac:dyDescent="0.25">
      <c r="B770" s="52"/>
    </row>
    <row r="771" spans="2:2" x14ac:dyDescent="0.25">
      <c r="B771" s="52"/>
    </row>
    <row r="772" spans="2:2" x14ac:dyDescent="0.25">
      <c r="B772" s="52"/>
    </row>
    <row r="773" spans="2:2" x14ac:dyDescent="0.25">
      <c r="B773" s="52"/>
    </row>
    <row r="774" spans="2:2" x14ac:dyDescent="0.25">
      <c r="B774" s="52"/>
    </row>
    <row r="775" spans="2:2" x14ac:dyDescent="0.25">
      <c r="B775" s="52"/>
    </row>
    <row r="776" spans="2:2" x14ac:dyDescent="0.25">
      <c r="B776" s="52"/>
    </row>
    <row r="777" spans="2:2" x14ac:dyDescent="0.25">
      <c r="B777" s="52"/>
    </row>
    <row r="778" spans="2:2" x14ac:dyDescent="0.25">
      <c r="B778" s="52"/>
    </row>
    <row r="779" spans="2:2" x14ac:dyDescent="0.25">
      <c r="B779" s="52"/>
    </row>
    <row r="780" spans="2:2" x14ac:dyDescent="0.25">
      <c r="B780" s="52"/>
    </row>
    <row r="781" spans="2:2" x14ac:dyDescent="0.25">
      <c r="B781" s="52"/>
    </row>
    <row r="782" spans="2:2" x14ac:dyDescent="0.25">
      <c r="B782" s="52"/>
    </row>
    <row r="783" spans="2:2" x14ac:dyDescent="0.25">
      <c r="B783" s="52"/>
    </row>
    <row r="784" spans="2:2" x14ac:dyDescent="0.25">
      <c r="B784" s="52"/>
    </row>
    <row r="785" spans="2:2" x14ac:dyDescent="0.25">
      <c r="B785" s="52"/>
    </row>
    <row r="786" spans="2:2" x14ac:dyDescent="0.25">
      <c r="B786" s="52"/>
    </row>
    <row r="787" spans="2:2" x14ac:dyDescent="0.25">
      <c r="B787" s="52"/>
    </row>
    <row r="788" spans="2:2" x14ac:dyDescent="0.25">
      <c r="B788" s="52"/>
    </row>
    <row r="789" spans="2:2" x14ac:dyDescent="0.25">
      <c r="B789" s="52"/>
    </row>
    <row r="790" spans="2:2" x14ac:dyDescent="0.25">
      <c r="B790" s="52"/>
    </row>
    <row r="791" spans="2:2" x14ac:dyDescent="0.25">
      <c r="B791" s="52"/>
    </row>
    <row r="792" spans="2:2" x14ac:dyDescent="0.25">
      <c r="B792" s="52"/>
    </row>
    <row r="793" spans="2:2" x14ac:dyDescent="0.25">
      <c r="B793" s="52"/>
    </row>
    <row r="794" spans="2:2" x14ac:dyDescent="0.25">
      <c r="B794" s="52"/>
    </row>
    <row r="795" spans="2:2" x14ac:dyDescent="0.25">
      <c r="B795" s="52"/>
    </row>
    <row r="796" spans="2:2" x14ac:dyDescent="0.25">
      <c r="B796" s="52"/>
    </row>
    <row r="797" spans="2:2" x14ac:dyDescent="0.25">
      <c r="B797" s="52"/>
    </row>
    <row r="798" spans="2:2" x14ac:dyDescent="0.25">
      <c r="B798" s="52"/>
    </row>
    <row r="799" spans="2:2" x14ac:dyDescent="0.25">
      <c r="B799" s="52"/>
    </row>
    <row r="800" spans="2:2" x14ac:dyDescent="0.25">
      <c r="B800" s="52"/>
    </row>
    <row r="801" spans="2:2" x14ac:dyDescent="0.25">
      <c r="B801" s="52"/>
    </row>
    <row r="802" spans="2:2" x14ac:dyDescent="0.25">
      <c r="B802" s="52"/>
    </row>
    <row r="803" spans="2:2" x14ac:dyDescent="0.25">
      <c r="B803" s="52"/>
    </row>
    <row r="804" spans="2:2" x14ac:dyDescent="0.25">
      <c r="B804" s="52"/>
    </row>
    <row r="805" spans="2:2" x14ac:dyDescent="0.25">
      <c r="B805" s="52"/>
    </row>
    <row r="806" spans="2:2" x14ac:dyDescent="0.25">
      <c r="B806" s="52"/>
    </row>
    <row r="807" spans="2:2" x14ac:dyDescent="0.25">
      <c r="B807" s="52"/>
    </row>
    <row r="808" spans="2:2" x14ac:dyDescent="0.25">
      <c r="B808" s="52"/>
    </row>
    <row r="809" spans="2:2" x14ac:dyDescent="0.25">
      <c r="B809" s="52"/>
    </row>
    <row r="810" spans="2:2" x14ac:dyDescent="0.25">
      <c r="B810" s="52"/>
    </row>
    <row r="811" spans="2:2" x14ac:dyDescent="0.25">
      <c r="B811" s="52"/>
    </row>
    <row r="812" spans="2:2" x14ac:dyDescent="0.25">
      <c r="B812" s="52"/>
    </row>
    <row r="813" spans="2:2" x14ac:dyDescent="0.25">
      <c r="B813" s="52"/>
    </row>
    <row r="814" spans="2:2" x14ac:dyDescent="0.25">
      <c r="B814" s="52"/>
    </row>
    <row r="815" spans="2:2" x14ac:dyDescent="0.25">
      <c r="B815" s="52"/>
    </row>
    <row r="816" spans="2:2" x14ac:dyDescent="0.25">
      <c r="B816" s="52"/>
    </row>
    <row r="817" spans="2:2" x14ac:dyDescent="0.25">
      <c r="B817" s="52"/>
    </row>
    <row r="818" spans="2:2" x14ac:dyDescent="0.25">
      <c r="B818" s="52"/>
    </row>
    <row r="819" spans="2:2" x14ac:dyDescent="0.25">
      <c r="B819" s="52"/>
    </row>
    <row r="820" spans="2:2" x14ac:dyDescent="0.25">
      <c r="B820" s="52"/>
    </row>
    <row r="821" spans="2:2" x14ac:dyDescent="0.25">
      <c r="B821" s="52"/>
    </row>
    <row r="822" spans="2:2" x14ac:dyDescent="0.25">
      <c r="B822" s="52"/>
    </row>
    <row r="823" spans="2:2" x14ac:dyDescent="0.25">
      <c r="B823" s="52"/>
    </row>
    <row r="824" spans="2:2" x14ac:dyDescent="0.25">
      <c r="B824" s="52"/>
    </row>
    <row r="825" spans="2:2" x14ac:dyDescent="0.25">
      <c r="B825" s="52"/>
    </row>
    <row r="826" spans="2:2" x14ac:dyDescent="0.25">
      <c r="B826" s="52"/>
    </row>
    <row r="827" spans="2:2" x14ac:dyDescent="0.25">
      <c r="B827" s="52"/>
    </row>
    <row r="828" spans="2:2" x14ac:dyDescent="0.25">
      <c r="B828" s="52"/>
    </row>
    <row r="829" spans="2:2" x14ac:dyDescent="0.25">
      <c r="B829" s="52"/>
    </row>
    <row r="830" spans="2:2" x14ac:dyDescent="0.25">
      <c r="B830" s="52"/>
    </row>
    <row r="831" spans="2:2" x14ac:dyDescent="0.25">
      <c r="B831" s="52"/>
    </row>
    <row r="832" spans="2:2" x14ac:dyDescent="0.25">
      <c r="B832" s="52"/>
    </row>
    <row r="833" spans="2:2" x14ac:dyDescent="0.25">
      <c r="B833" s="52"/>
    </row>
    <row r="834" spans="2:2" x14ac:dyDescent="0.25">
      <c r="B834" s="52"/>
    </row>
    <row r="835" spans="2:2" x14ac:dyDescent="0.25">
      <c r="B835" s="52"/>
    </row>
    <row r="836" spans="2:2" x14ac:dyDescent="0.25">
      <c r="B836" s="52"/>
    </row>
    <row r="837" spans="2:2" x14ac:dyDescent="0.25">
      <c r="B837" s="52"/>
    </row>
    <row r="838" spans="2:2" x14ac:dyDescent="0.25">
      <c r="B838" s="52"/>
    </row>
    <row r="839" spans="2:2" x14ac:dyDescent="0.25">
      <c r="B839" s="52"/>
    </row>
    <row r="840" spans="2:2" x14ac:dyDescent="0.25">
      <c r="B840" s="52"/>
    </row>
    <row r="841" spans="2:2" x14ac:dyDescent="0.25">
      <c r="B841" s="52"/>
    </row>
    <row r="842" spans="2:2" x14ac:dyDescent="0.25">
      <c r="B842" s="52"/>
    </row>
    <row r="843" spans="2:2" x14ac:dyDescent="0.25">
      <c r="B843" s="52"/>
    </row>
    <row r="844" spans="2:2" x14ac:dyDescent="0.25">
      <c r="B844" s="52"/>
    </row>
    <row r="845" spans="2:2" x14ac:dyDescent="0.25">
      <c r="B845" s="52"/>
    </row>
    <row r="846" spans="2:2" x14ac:dyDescent="0.25">
      <c r="B846" s="52"/>
    </row>
    <row r="847" spans="2:2" x14ac:dyDescent="0.25">
      <c r="B847" s="52"/>
    </row>
    <row r="848" spans="2:2" x14ac:dyDescent="0.25">
      <c r="B848" s="52"/>
    </row>
    <row r="849" spans="2:2" x14ac:dyDescent="0.25">
      <c r="B849" s="52"/>
    </row>
    <row r="850" spans="2:2" x14ac:dyDescent="0.25">
      <c r="B850" s="52"/>
    </row>
    <row r="851" spans="2:2" x14ac:dyDescent="0.25">
      <c r="B851" s="52"/>
    </row>
    <row r="852" spans="2:2" x14ac:dyDescent="0.25">
      <c r="B852" s="52"/>
    </row>
    <row r="853" spans="2:2" x14ac:dyDescent="0.25">
      <c r="B853" s="52"/>
    </row>
    <row r="854" spans="2:2" x14ac:dyDescent="0.25">
      <c r="B854" s="52"/>
    </row>
    <row r="855" spans="2:2" x14ac:dyDescent="0.25">
      <c r="B855" s="52"/>
    </row>
    <row r="856" spans="2:2" x14ac:dyDescent="0.25">
      <c r="B856" s="52"/>
    </row>
    <row r="857" spans="2:2" x14ac:dyDescent="0.25">
      <c r="B857" s="52"/>
    </row>
    <row r="858" spans="2:2" x14ac:dyDescent="0.25">
      <c r="B858" s="52"/>
    </row>
    <row r="859" spans="2:2" x14ac:dyDescent="0.25">
      <c r="B859" s="52"/>
    </row>
    <row r="860" spans="2:2" x14ac:dyDescent="0.25">
      <c r="B860" s="52"/>
    </row>
    <row r="861" spans="2:2" x14ac:dyDescent="0.25">
      <c r="B861" s="52"/>
    </row>
    <row r="862" spans="2:2" x14ac:dyDescent="0.25">
      <c r="B862" s="52"/>
    </row>
    <row r="863" spans="2:2" x14ac:dyDescent="0.25">
      <c r="B863" s="52"/>
    </row>
    <row r="864" spans="2:2" x14ac:dyDescent="0.25">
      <c r="B864" s="52"/>
    </row>
    <row r="865" spans="2:2" x14ac:dyDescent="0.25">
      <c r="B865" s="52"/>
    </row>
    <row r="866" spans="2:2" x14ac:dyDescent="0.25">
      <c r="B866" s="52"/>
    </row>
    <row r="867" spans="2:2" x14ac:dyDescent="0.25">
      <c r="B867" s="52"/>
    </row>
    <row r="868" spans="2:2" x14ac:dyDescent="0.25">
      <c r="B868" s="52"/>
    </row>
    <row r="869" spans="2:2" x14ac:dyDescent="0.25">
      <c r="B869" s="52"/>
    </row>
    <row r="870" spans="2:2" x14ac:dyDescent="0.25">
      <c r="B870" s="52"/>
    </row>
    <row r="871" spans="2:2" x14ac:dyDescent="0.25">
      <c r="B871" s="52"/>
    </row>
    <row r="872" spans="2:2" x14ac:dyDescent="0.25">
      <c r="B872" s="52"/>
    </row>
    <row r="873" spans="2:2" x14ac:dyDescent="0.25">
      <c r="B873" s="52"/>
    </row>
    <row r="874" spans="2:2" x14ac:dyDescent="0.25">
      <c r="B874" s="52"/>
    </row>
    <row r="875" spans="2:2" x14ac:dyDescent="0.25">
      <c r="B875" s="52"/>
    </row>
    <row r="876" spans="2:2" x14ac:dyDescent="0.25">
      <c r="B876" s="52"/>
    </row>
    <row r="877" spans="2:2" x14ac:dyDescent="0.25">
      <c r="B877" s="52"/>
    </row>
    <row r="878" spans="2:2" x14ac:dyDescent="0.25">
      <c r="B878" s="52"/>
    </row>
    <row r="879" spans="2:2" x14ac:dyDescent="0.25">
      <c r="B879" s="52"/>
    </row>
    <row r="880" spans="2:2" x14ac:dyDescent="0.25">
      <c r="B880" s="52"/>
    </row>
    <row r="881" spans="2:2" x14ac:dyDescent="0.25">
      <c r="B881" s="52"/>
    </row>
    <row r="882" spans="2:2" x14ac:dyDescent="0.25">
      <c r="B882" s="52"/>
    </row>
    <row r="883" spans="2:2" x14ac:dyDescent="0.25">
      <c r="B883" s="52"/>
    </row>
    <row r="884" spans="2:2" x14ac:dyDescent="0.25">
      <c r="B884" s="52"/>
    </row>
    <row r="885" spans="2:2" x14ac:dyDescent="0.25">
      <c r="B885" s="52"/>
    </row>
    <row r="886" spans="2:2" x14ac:dyDescent="0.25">
      <c r="B886" s="52"/>
    </row>
    <row r="887" spans="2:2" x14ac:dyDescent="0.25">
      <c r="B887" s="52"/>
    </row>
    <row r="888" spans="2:2" x14ac:dyDescent="0.25">
      <c r="B888" s="52"/>
    </row>
    <row r="889" spans="2:2" x14ac:dyDescent="0.25">
      <c r="B889" s="52"/>
    </row>
    <row r="890" spans="2:2" x14ac:dyDescent="0.25">
      <c r="B890" s="52"/>
    </row>
    <row r="891" spans="2:2" x14ac:dyDescent="0.25">
      <c r="B891" s="52"/>
    </row>
    <row r="892" spans="2:2" x14ac:dyDescent="0.25">
      <c r="B892" s="52"/>
    </row>
    <row r="893" spans="2:2" x14ac:dyDescent="0.25">
      <c r="B893" s="52"/>
    </row>
    <row r="894" spans="2:2" x14ac:dyDescent="0.25">
      <c r="B894" s="52"/>
    </row>
    <row r="895" spans="2:2" x14ac:dyDescent="0.25">
      <c r="B895" s="52"/>
    </row>
    <row r="896" spans="2:2" x14ac:dyDescent="0.25">
      <c r="B896" s="52"/>
    </row>
    <row r="897" spans="2:2" x14ac:dyDescent="0.25">
      <c r="B897" s="52"/>
    </row>
    <row r="898" spans="2:2" x14ac:dyDescent="0.25">
      <c r="B898" s="52"/>
    </row>
    <row r="899" spans="2:2" x14ac:dyDescent="0.25">
      <c r="B899" s="52"/>
    </row>
    <row r="900" spans="2:2" x14ac:dyDescent="0.25">
      <c r="B900" s="52"/>
    </row>
    <row r="901" spans="2:2" x14ac:dyDescent="0.25">
      <c r="B901" s="52"/>
    </row>
    <row r="902" spans="2:2" x14ac:dyDescent="0.25">
      <c r="B902" s="52"/>
    </row>
    <row r="903" spans="2:2" x14ac:dyDescent="0.25">
      <c r="B903" s="52"/>
    </row>
    <row r="904" spans="2:2" x14ac:dyDescent="0.25">
      <c r="B904" s="52"/>
    </row>
    <row r="905" spans="2:2" x14ac:dyDescent="0.25">
      <c r="B905" s="52"/>
    </row>
    <row r="906" spans="2:2" x14ac:dyDescent="0.25">
      <c r="B906" s="52"/>
    </row>
    <row r="907" spans="2:2" x14ac:dyDescent="0.25">
      <c r="B907" s="52"/>
    </row>
    <row r="908" spans="2:2" x14ac:dyDescent="0.25">
      <c r="B908" s="52"/>
    </row>
    <row r="909" spans="2:2" x14ac:dyDescent="0.25">
      <c r="B909" s="52"/>
    </row>
    <row r="910" spans="2:2" x14ac:dyDescent="0.25">
      <c r="B910" s="52"/>
    </row>
    <row r="911" spans="2:2" x14ac:dyDescent="0.25">
      <c r="B911" s="52"/>
    </row>
    <row r="912" spans="2:2" x14ac:dyDescent="0.25">
      <c r="B912" s="52"/>
    </row>
    <row r="913" spans="2:2" x14ac:dyDescent="0.25">
      <c r="B913" s="52"/>
    </row>
    <row r="914" spans="2:2" x14ac:dyDescent="0.25">
      <c r="B914" s="52"/>
    </row>
    <row r="915" spans="2:2" x14ac:dyDescent="0.25">
      <c r="B915" s="52"/>
    </row>
    <row r="916" spans="2:2" x14ac:dyDescent="0.25">
      <c r="B916" s="52"/>
    </row>
    <row r="917" spans="2:2" x14ac:dyDescent="0.25">
      <c r="B917" s="52"/>
    </row>
    <row r="918" spans="2:2" x14ac:dyDescent="0.25">
      <c r="B918" s="52"/>
    </row>
    <row r="919" spans="2:2" x14ac:dyDescent="0.25">
      <c r="B919" s="52"/>
    </row>
    <row r="920" spans="2:2" x14ac:dyDescent="0.25">
      <c r="B920" s="52"/>
    </row>
    <row r="921" spans="2:2" x14ac:dyDescent="0.25">
      <c r="B921" s="52"/>
    </row>
    <row r="922" spans="2:2" x14ac:dyDescent="0.25">
      <c r="B922" s="52"/>
    </row>
    <row r="923" spans="2:2" x14ac:dyDescent="0.25">
      <c r="B923" s="52"/>
    </row>
    <row r="924" spans="2:2" x14ac:dyDescent="0.25">
      <c r="B924" s="52"/>
    </row>
    <row r="925" spans="2:2" x14ac:dyDescent="0.25">
      <c r="B925" s="52"/>
    </row>
    <row r="926" spans="2:2" x14ac:dyDescent="0.25">
      <c r="B926" s="52"/>
    </row>
    <row r="927" spans="2:2" x14ac:dyDescent="0.25">
      <c r="B927" s="52"/>
    </row>
    <row r="928" spans="2:2" x14ac:dyDescent="0.25">
      <c r="B928" s="52"/>
    </row>
    <row r="929" spans="2:2" x14ac:dyDescent="0.25">
      <c r="B929" s="52"/>
    </row>
    <row r="930" spans="2:2" x14ac:dyDescent="0.25">
      <c r="B930" s="52"/>
    </row>
    <row r="931" spans="2:2" x14ac:dyDescent="0.25">
      <c r="B931" s="52"/>
    </row>
    <row r="932" spans="2:2" x14ac:dyDescent="0.25">
      <c r="B932" s="52"/>
    </row>
    <row r="933" spans="2:2" x14ac:dyDescent="0.25">
      <c r="B933" s="52"/>
    </row>
    <row r="934" spans="2:2" x14ac:dyDescent="0.25">
      <c r="B934" s="52"/>
    </row>
    <row r="935" spans="2:2" x14ac:dyDescent="0.25">
      <c r="B935" s="52"/>
    </row>
    <row r="936" spans="2:2" x14ac:dyDescent="0.25">
      <c r="B936" s="52"/>
    </row>
    <row r="937" spans="2:2" x14ac:dyDescent="0.25">
      <c r="B937" s="52"/>
    </row>
    <row r="938" spans="2:2" x14ac:dyDescent="0.25">
      <c r="B938" s="52"/>
    </row>
    <row r="939" spans="2:2" x14ac:dyDescent="0.25">
      <c r="B939" s="52"/>
    </row>
    <row r="940" spans="2:2" x14ac:dyDescent="0.25">
      <c r="B940" s="52"/>
    </row>
    <row r="941" spans="2:2" x14ac:dyDescent="0.25">
      <c r="B941" s="52"/>
    </row>
    <row r="942" spans="2:2" x14ac:dyDescent="0.25">
      <c r="B942" s="52"/>
    </row>
    <row r="943" spans="2:2" x14ac:dyDescent="0.25">
      <c r="B943" s="52"/>
    </row>
    <row r="944" spans="2:2" x14ac:dyDescent="0.25">
      <c r="B944" s="52"/>
    </row>
    <row r="945" spans="2:2" x14ac:dyDescent="0.25">
      <c r="B945" s="52"/>
    </row>
    <row r="946" spans="2:2" x14ac:dyDescent="0.25">
      <c r="B946" s="52"/>
    </row>
    <row r="947" spans="2:2" x14ac:dyDescent="0.25">
      <c r="B947" s="52"/>
    </row>
    <row r="948" spans="2:2" x14ac:dyDescent="0.25">
      <c r="B948" s="52"/>
    </row>
    <row r="949" spans="2:2" x14ac:dyDescent="0.25">
      <c r="B949" s="52"/>
    </row>
    <row r="950" spans="2:2" x14ac:dyDescent="0.25">
      <c r="B950" s="52"/>
    </row>
    <row r="951" spans="2:2" x14ac:dyDescent="0.25">
      <c r="B951" s="52"/>
    </row>
    <row r="952" spans="2:2" x14ac:dyDescent="0.25">
      <c r="B952" s="52"/>
    </row>
    <row r="953" spans="2:2" x14ac:dyDescent="0.25">
      <c r="B953" s="52"/>
    </row>
    <row r="954" spans="2:2" x14ac:dyDescent="0.25">
      <c r="B954" s="52"/>
    </row>
    <row r="955" spans="2:2" x14ac:dyDescent="0.25">
      <c r="B955" s="52"/>
    </row>
    <row r="956" spans="2:2" x14ac:dyDescent="0.25">
      <c r="B956" s="52"/>
    </row>
    <row r="957" spans="2:2" x14ac:dyDescent="0.25">
      <c r="B957" s="52"/>
    </row>
    <row r="958" spans="2:2" x14ac:dyDescent="0.25">
      <c r="B958" s="52"/>
    </row>
    <row r="959" spans="2:2" x14ac:dyDescent="0.25">
      <c r="B959" s="52"/>
    </row>
    <row r="960" spans="2:2" x14ac:dyDescent="0.25">
      <c r="B960" s="52"/>
    </row>
    <row r="961" spans="2:2" x14ac:dyDescent="0.25">
      <c r="B961" s="52"/>
    </row>
    <row r="962" spans="2:2" x14ac:dyDescent="0.25">
      <c r="B962" s="52"/>
    </row>
    <row r="963" spans="2:2" x14ac:dyDescent="0.25">
      <c r="B963" s="52"/>
    </row>
    <row r="964" spans="2:2" x14ac:dyDescent="0.25">
      <c r="B964" s="52"/>
    </row>
    <row r="965" spans="2:2" x14ac:dyDescent="0.25">
      <c r="B965" s="52"/>
    </row>
    <row r="966" spans="2:2" x14ac:dyDescent="0.25">
      <c r="B966" s="52"/>
    </row>
    <row r="967" spans="2:2" x14ac:dyDescent="0.25">
      <c r="B967" s="52"/>
    </row>
    <row r="968" spans="2:2" x14ac:dyDescent="0.25">
      <c r="B968" s="52"/>
    </row>
    <row r="969" spans="2:2" x14ac:dyDescent="0.25">
      <c r="B969" s="52"/>
    </row>
    <row r="970" spans="2:2" x14ac:dyDescent="0.25">
      <c r="B970" s="52"/>
    </row>
    <row r="971" spans="2:2" x14ac:dyDescent="0.25">
      <c r="B971" s="52"/>
    </row>
    <row r="972" spans="2:2" x14ac:dyDescent="0.25">
      <c r="B972" s="52"/>
    </row>
    <row r="973" spans="2:2" x14ac:dyDescent="0.25">
      <c r="B973" s="52"/>
    </row>
    <row r="974" spans="2:2" x14ac:dyDescent="0.25">
      <c r="B974" s="52"/>
    </row>
    <row r="975" spans="2:2" x14ac:dyDescent="0.25">
      <c r="B975" s="52"/>
    </row>
    <row r="976" spans="2:2" x14ac:dyDescent="0.25">
      <c r="B976" s="52"/>
    </row>
    <row r="977" spans="2:2" x14ac:dyDescent="0.25">
      <c r="B977" s="52"/>
    </row>
    <row r="978" spans="2:2" x14ac:dyDescent="0.25">
      <c r="B978" s="52"/>
    </row>
    <row r="979" spans="2:2" x14ac:dyDescent="0.25">
      <c r="B979" s="52"/>
    </row>
    <row r="980" spans="2:2" x14ac:dyDescent="0.25">
      <c r="B980" s="52"/>
    </row>
    <row r="981" spans="2:2" x14ac:dyDescent="0.25">
      <c r="B981" s="52"/>
    </row>
    <row r="982" spans="2:2" x14ac:dyDescent="0.25">
      <c r="B982" s="52"/>
    </row>
    <row r="983" spans="2:2" x14ac:dyDescent="0.25">
      <c r="B983" s="52"/>
    </row>
    <row r="984" spans="2:2" x14ac:dyDescent="0.25">
      <c r="B984" s="52"/>
    </row>
    <row r="985" spans="2:2" x14ac:dyDescent="0.25">
      <c r="B985" s="52"/>
    </row>
    <row r="986" spans="2:2" x14ac:dyDescent="0.25">
      <c r="B986" s="52"/>
    </row>
    <row r="987" spans="2:2" x14ac:dyDescent="0.25">
      <c r="B987" s="52"/>
    </row>
    <row r="988" spans="2:2" x14ac:dyDescent="0.25">
      <c r="B988" s="52"/>
    </row>
    <row r="989" spans="2:2" x14ac:dyDescent="0.25">
      <c r="B989" s="52"/>
    </row>
    <row r="990" spans="2:2" x14ac:dyDescent="0.25">
      <c r="B990" s="52"/>
    </row>
    <row r="991" spans="2:2" x14ac:dyDescent="0.25">
      <c r="B991" s="52"/>
    </row>
    <row r="992" spans="2:2" x14ac:dyDescent="0.25">
      <c r="B992" s="52"/>
    </row>
    <row r="993" spans="2:2" x14ac:dyDescent="0.25">
      <c r="B993" s="52"/>
    </row>
    <row r="994" spans="2:2" x14ac:dyDescent="0.25">
      <c r="B994" s="52"/>
    </row>
    <row r="995" spans="2:2" x14ac:dyDescent="0.25">
      <c r="B995" s="52"/>
    </row>
    <row r="996" spans="2:2" x14ac:dyDescent="0.25">
      <c r="B996" s="52"/>
    </row>
    <row r="997" spans="2:2" x14ac:dyDescent="0.25">
      <c r="B997" s="52"/>
    </row>
    <row r="998" spans="2:2" x14ac:dyDescent="0.25">
      <c r="B998" s="52"/>
    </row>
    <row r="999" spans="2:2" x14ac:dyDescent="0.25">
      <c r="B999" s="52"/>
    </row>
    <row r="1000" spans="2:2" x14ac:dyDescent="0.25">
      <c r="B1000" s="52"/>
    </row>
    <row r="1001" spans="2:2" x14ac:dyDescent="0.25">
      <c r="B1001" s="52"/>
    </row>
    <row r="1002" spans="2:2" x14ac:dyDescent="0.25">
      <c r="B1002" s="52"/>
    </row>
    <row r="1003" spans="2:2" x14ac:dyDescent="0.25">
      <c r="B1003" s="52"/>
    </row>
    <row r="1004" spans="2:2" x14ac:dyDescent="0.25">
      <c r="B1004" s="52"/>
    </row>
    <row r="1005" spans="2:2" x14ac:dyDescent="0.25">
      <c r="B1005" s="52"/>
    </row>
    <row r="1006" spans="2:2" x14ac:dyDescent="0.25">
      <c r="B1006" s="52"/>
    </row>
    <row r="1007" spans="2:2" x14ac:dyDescent="0.25">
      <c r="B1007" s="52"/>
    </row>
    <row r="1008" spans="2:2" x14ac:dyDescent="0.25">
      <c r="B1008" s="52"/>
    </row>
    <row r="1009" spans="2:2" x14ac:dyDescent="0.25">
      <c r="B1009" s="52"/>
    </row>
    <row r="1010" spans="2:2" x14ac:dyDescent="0.25">
      <c r="B1010" s="52"/>
    </row>
    <row r="1011" spans="2:2" x14ac:dyDescent="0.25">
      <c r="B1011" s="52"/>
    </row>
    <row r="1012" spans="2:2" x14ac:dyDescent="0.25">
      <c r="B1012" s="52"/>
    </row>
    <row r="1013" spans="2:2" x14ac:dyDescent="0.25">
      <c r="B1013" s="52"/>
    </row>
    <row r="1014" spans="2:2" x14ac:dyDescent="0.25">
      <c r="B1014" s="52"/>
    </row>
    <row r="1015" spans="2:2" x14ac:dyDescent="0.25">
      <c r="B1015" s="52"/>
    </row>
    <row r="1016" spans="2:2" x14ac:dyDescent="0.25">
      <c r="B1016" s="52"/>
    </row>
    <row r="1017" spans="2:2" x14ac:dyDescent="0.25">
      <c r="B1017" s="52"/>
    </row>
    <row r="1018" spans="2:2" x14ac:dyDescent="0.25">
      <c r="B1018" s="52"/>
    </row>
    <row r="1019" spans="2:2" x14ac:dyDescent="0.25">
      <c r="B1019" s="52"/>
    </row>
    <row r="1020" spans="2:2" x14ac:dyDescent="0.25">
      <c r="B1020" s="52"/>
    </row>
    <row r="1021" spans="2:2" x14ac:dyDescent="0.25">
      <c r="B1021" s="52"/>
    </row>
    <row r="1022" spans="2:2" x14ac:dyDescent="0.25">
      <c r="B1022" s="52"/>
    </row>
    <row r="1023" spans="2:2" x14ac:dyDescent="0.25">
      <c r="B1023" s="52"/>
    </row>
    <row r="1024" spans="2:2" x14ac:dyDescent="0.25">
      <c r="B1024" s="52"/>
    </row>
    <row r="1025" spans="2:2" x14ac:dyDescent="0.25">
      <c r="B1025" s="52"/>
    </row>
    <row r="1026" spans="2:2" x14ac:dyDescent="0.25">
      <c r="B1026" s="52"/>
    </row>
    <row r="1027" spans="2:2" x14ac:dyDescent="0.25">
      <c r="B1027" s="52"/>
    </row>
    <row r="1028" spans="2:2" x14ac:dyDescent="0.25">
      <c r="B1028" s="52"/>
    </row>
    <row r="1029" spans="2:2" x14ac:dyDescent="0.25">
      <c r="B1029" s="52"/>
    </row>
    <row r="1030" spans="2:2" x14ac:dyDescent="0.25">
      <c r="B1030" s="52"/>
    </row>
    <row r="1031" spans="2:2" x14ac:dyDescent="0.25">
      <c r="B1031" s="52"/>
    </row>
    <row r="1032" spans="2:2" x14ac:dyDescent="0.25">
      <c r="B1032" s="52"/>
    </row>
    <row r="1033" spans="2:2" x14ac:dyDescent="0.25">
      <c r="B1033" s="52"/>
    </row>
    <row r="1034" spans="2:2" x14ac:dyDescent="0.25">
      <c r="B1034" s="52"/>
    </row>
    <row r="1035" spans="2:2" x14ac:dyDescent="0.25">
      <c r="B1035" s="52"/>
    </row>
    <row r="1036" spans="2:2" x14ac:dyDescent="0.25">
      <c r="B1036" s="52"/>
    </row>
    <row r="1037" spans="2:2" x14ac:dyDescent="0.25">
      <c r="B1037" s="52"/>
    </row>
    <row r="1038" spans="2:2" x14ac:dyDescent="0.25">
      <c r="B1038" s="52"/>
    </row>
    <row r="1039" spans="2:2" x14ac:dyDescent="0.25">
      <c r="B1039" s="52"/>
    </row>
    <row r="1040" spans="2:2" x14ac:dyDescent="0.25">
      <c r="B1040" s="52"/>
    </row>
    <row r="1041" spans="2:2" x14ac:dyDescent="0.25">
      <c r="B1041" s="52"/>
    </row>
    <row r="1042" spans="2:2" x14ac:dyDescent="0.25">
      <c r="B1042" s="52"/>
    </row>
    <row r="1043" spans="2:2" x14ac:dyDescent="0.25">
      <c r="B1043" s="52"/>
    </row>
    <row r="1044" spans="2:2" x14ac:dyDescent="0.25">
      <c r="B1044" s="52"/>
    </row>
    <row r="1045" spans="2:2" x14ac:dyDescent="0.25">
      <c r="B1045" s="52"/>
    </row>
    <row r="1046" spans="2:2" x14ac:dyDescent="0.25">
      <c r="B1046" s="52"/>
    </row>
    <row r="1047" spans="2:2" x14ac:dyDescent="0.25">
      <c r="B1047" s="52"/>
    </row>
    <row r="1048" spans="2:2" x14ac:dyDescent="0.25">
      <c r="B1048" s="52"/>
    </row>
    <row r="1049" spans="2:2" x14ac:dyDescent="0.25">
      <c r="B1049" s="52"/>
    </row>
    <row r="1050" spans="2:2" x14ac:dyDescent="0.25">
      <c r="B1050" s="52"/>
    </row>
    <row r="1051" spans="2:2" x14ac:dyDescent="0.25">
      <c r="B1051" s="52"/>
    </row>
    <row r="1052" spans="2:2" x14ac:dyDescent="0.25">
      <c r="B1052" s="52"/>
    </row>
    <row r="1053" spans="2:2" x14ac:dyDescent="0.25">
      <c r="B1053" s="52"/>
    </row>
    <row r="1054" spans="2:2" x14ac:dyDescent="0.25">
      <c r="B1054" s="52"/>
    </row>
    <row r="1055" spans="2:2" x14ac:dyDescent="0.25">
      <c r="B1055" s="52"/>
    </row>
    <row r="1056" spans="2:2" x14ac:dyDescent="0.25">
      <c r="B1056" s="52"/>
    </row>
    <row r="1057" spans="2:2" x14ac:dyDescent="0.25">
      <c r="B1057" s="52"/>
    </row>
    <row r="1058" spans="2:2" x14ac:dyDescent="0.25">
      <c r="B1058" s="52"/>
    </row>
    <row r="1059" spans="2:2" x14ac:dyDescent="0.25">
      <c r="B1059" s="52"/>
    </row>
    <row r="1060" spans="2:2" x14ac:dyDescent="0.25">
      <c r="B1060" s="52"/>
    </row>
    <row r="1061" spans="2:2" x14ac:dyDescent="0.25">
      <c r="B1061" s="52"/>
    </row>
    <row r="1062" spans="2:2" x14ac:dyDescent="0.25">
      <c r="B1062" s="52"/>
    </row>
    <row r="1063" spans="2:2" x14ac:dyDescent="0.25">
      <c r="B1063" s="52"/>
    </row>
    <row r="1064" spans="2:2" x14ac:dyDescent="0.25">
      <c r="B1064" s="52"/>
    </row>
    <row r="1065" spans="2:2" x14ac:dyDescent="0.25">
      <c r="B1065" s="52"/>
    </row>
    <row r="1066" spans="2:2" x14ac:dyDescent="0.25">
      <c r="B1066" s="52"/>
    </row>
    <row r="1067" spans="2:2" x14ac:dyDescent="0.25">
      <c r="B1067" s="52"/>
    </row>
    <row r="1068" spans="2:2" x14ac:dyDescent="0.25">
      <c r="B1068" s="52"/>
    </row>
    <row r="1069" spans="2:2" x14ac:dyDescent="0.25">
      <c r="B1069" s="52"/>
    </row>
    <row r="1070" spans="2:2" x14ac:dyDescent="0.25">
      <c r="B1070" s="52"/>
    </row>
    <row r="1071" spans="2:2" x14ac:dyDescent="0.25">
      <c r="B1071" s="52"/>
    </row>
    <row r="1072" spans="2:2" x14ac:dyDescent="0.25">
      <c r="B1072" s="52"/>
    </row>
    <row r="1073" spans="2:2" x14ac:dyDescent="0.25">
      <c r="B1073" s="52"/>
    </row>
    <row r="1074" spans="2:2" x14ac:dyDescent="0.25">
      <c r="B1074" s="52"/>
    </row>
    <row r="1075" spans="2:2" x14ac:dyDescent="0.25">
      <c r="B1075" s="52"/>
    </row>
    <row r="1076" spans="2:2" x14ac:dyDescent="0.25">
      <c r="B1076" s="52"/>
    </row>
    <row r="1077" spans="2:2" x14ac:dyDescent="0.25">
      <c r="B1077" s="52"/>
    </row>
    <row r="1078" spans="2:2" x14ac:dyDescent="0.25">
      <c r="B1078" s="52"/>
    </row>
    <row r="1079" spans="2:2" x14ac:dyDescent="0.25">
      <c r="B1079" s="52"/>
    </row>
    <row r="1080" spans="2:2" x14ac:dyDescent="0.25">
      <c r="B1080" s="52"/>
    </row>
    <row r="1081" spans="2:2" x14ac:dyDescent="0.25">
      <c r="B1081" s="52"/>
    </row>
    <row r="1082" spans="2:2" x14ac:dyDescent="0.25">
      <c r="B1082" s="52"/>
    </row>
    <row r="1083" spans="2:2" x14ac:dyDescent="0.25">
      <c r="B1083" s="52"/>
    </row>
    <row r="1084" spans="2:2" x14ac:dyDescent="0.25">
      <c r="B1084" s="52"/>
    </row>
    <row r="1085" spans="2:2" x14ac:dyDescent="0.25">
      <c r="B1085" s="52"/>
    </row>
    <row r="1086" spans="2:2" x14ac:dyDescent="0.25">
      <c r="B1086" s="52"/>
    </row>
    <row r="1087" spans="2:2" x14ac:dyDescent="0.25">
      <c r="B1087" s="52"/>
    </row>
    <row r="1088" spans="2:2" x14ac:dyDescent="0.25">
      <c r="B1088" s="52"/>
    </row>
    <row r="1089" spans="2:2" x14ac:dyDescent="0.25">
      <c r="B1089" s="52"/>
    </row>
    <row r="1090" spans="2:2" x14ac:dyDescent="0.25">
      <c r="B1090" s="52"/>
    </row>
    <row r="1091" spans="2:2" x14ac:dyDescent="0.25">
      <c r="B1091" s="52"/>
    </row>
    <row r="1092" spans="2:2" x14ac:dyDescent="0.25">
      <c r="B1092" s="52"/>
    </row>
    <row r="1093" spans="2:2" x14ac:dyDescent="0.25">
      <c r="B1093" s="52"/>
    </row>
    <row r="1094" spans="2:2" x14ac:dyDescent="0.25">
      <c r="B1094" s="52"/>
    </row>
    <row r="1095" spans="2:2" x14ac:dyDescent="0.25">
      <c r="B1095" s="52"/>
    </row>
    <row r="1096" spans="2:2" x14ac:dyDescent="0.25">
      <c r="B1096" s="52"/>
    </row>
    <row r="1097" spans="2:2" x14ac:dyDescent="0.25">
      <c r="B1097" s="52"/>
    </row>
    <row r="1098" spans="2:2" x14ac:dyDescent="0.25">
      <c r="B1098" s="52"/>
    </row>
    <row r="1099" spans="2:2" x14ac:dyDescent="0.25">
      <c r="B1099" s="52"/>
    </row>
    <row r="1100" spans="2:2" x14ac:dyDescent="0.25">
      <c r="B1100" s="52"/>
    </row>
    <row r="1101" spans="2:2" x14ac:dyDescent="0.25">
      <c r="B1101" s="52"/>
    </row>
    <row r="1102" spans="2:2" x14ac:dyDescent="0.25">
      <c r="B1102" s="52"/>
    </row>
    <row r="1103" spans="2:2" x14ac:dyDescent="0.25">
      <c r="B1103" s="52"/>
    </row>
    <row r="1104" spans="2:2" x14ac:dyDescent="0.25">
      <c r="B1104" s="52"/>
    </row>
    <row r="1105" spans="2:2" x14ac:dyDescent="0.25">
      <c r="B1105" s="52"/>
    </row>
    <row r="1106" spans="2:2" x14ac:dyDescent="0.25">
      <c r="B1106" s="52"/>
    </row>
    <row r="1107" spans="2:2" x14ac:dyDescent="0.25">
      <c r="B1107" s="52"/>
    </row>
    <row r="1108" spans="2:2" x14ac:dyDescent="0.25">
      <c r="B1108" s="52"/>
    </row>
    <row r="1109" spans="2:2" x14ac:dyDescent="0.25">
      <c r="B1109" s="52"/>
    </row>
    <row r="1110" spans="2:2" x14ac:dyDescent="0.25">
      <c r="B1110" s="52"/>
    </row>
    <row r="1111" spans="2:2" x14ac:dyDescent="0.25">
      <c r="B1111" s="52"/>
    </row>
    <row r="1112" spans="2:2" x14ac:dyDescent="0.25">
      <c r="B1112" s="52"/>
    </row>
    <row r="1113" spans="2:2" x14ac:dyDescent="0.25">
      <c r="B1113" s="52"/>
    </row>
    <row r="1114" spans="2:2" x14ac:dyDescent="0.25">
      <c r="B1114" s="52"/>
    </row>
    <row r="1115" spans="2:2" x14ac:dyDescent="0.25">
      <c r="B1115" s="52"/>
    </row>
    <row r="1116" spans="2:2" x14ac:dyDescent="0.25">
      <c r="B1116" s="52"/>
    </row>
    <row r="1117" spans="2:2" x14ac:dyDescent="0.25">
      <c r="B1117" s="52"/>
    </row>
    <row r="1118" spans="2:2" x14ac:dyDescent="0.25">
      <c r="B1118" s="52"/>
    </row>
    <row r="1119" spans="2:2" x14ac:dyDescent="0.25">
      <c r="B1119" s="52"/>
    </row>
    <row r="1120" spans="2:2" x14ac:dyDescent="0.25">
      <c r="B1120" s="52"/>
    </row>
    <row r="1121" spans="2:2" x14ac:dyDescent="0.25">
      <c r="B1121" s="52"/>
    </row>
    <row r="1122" spans="2:2" x14ac:dyDescent="0.25">
      <c r="B1122" s="52"/>
    </row>
    <row r="1123" spans="2:2" x14ac:dyDescent="0.25">
      <c r="B1123" s="52"/>
    </row>
    <row r="1124" spans="2:2" x14ac:dyDescent="0.25">
      <c r="B1124" s="52"/>
    </row>
    <row r="1125" spans="2:2" x14ac:dyDescent="0.25">
      <c r="B1125" s="52"/>
    </row>
    <row r="1126" spans="2:2" x14ac:dyDescent="0.25">
      <c r="B1126" s="52"/>
    </row>
    <row r="1127" spans="2:2" x14ac:dyDescent="0.25">
      <c r="B1127" s="52"/>
    </row>
    <row r="1128" spans="2:2" x14ac:dyDescent="0.25">
      <c r="B1128" s="52"/>
    </row>
    <row r="1129" spans="2:2" x14ac:dyDescent="0.25">
      <c r="B1129" s="52"/>
    </row>
    <row r="1130" spans="2:2" x14ac:dyDescent="0.25">
      <c r="B1130" s="52"/>
    </row>
    <row r="1131" spans="2:2" x14ac:dyDescent="0.25">
      <c r="B1131" s="52"/>
    </row>
    <row r="1132" spans="2:2" x14ac:dyDescent="0.25">
      <c r="B1132" s="52"/>
    </row>
    <row r="1133" spans="2:2" x14ac:dyDescent="0.25">
      <c r="B1133" s="52"/>
    </row>
    <row r="1134" spans="2:2" x14ac:dyDescent="0.25">
      <c r="B1134" s="52"/>
    </row>
    <row r="1135" spans="2:2" x14ac:dyDescent="0.25">
      <c r="B1135" s="52"/>
    </row>
    <row r="1136" spans="2:2" x14ac:dyDescent="0.25">
      <c r="B1136" s="52"/>
    </row>
    <row r="1137" spans="2:2" x14ac:dyDescent="0.25">
      <c r="B1137" s="52"/>
    </row>
    <row r="1138" spans="2:2" x14ac:dyDescent="0.25">
      <c r="B1138" s="52"/>
    </row>
    <row r="1139" spans="2:2" x14ac:dyDescent="0.25">
      <c r="B1139" s="52"/>
    </row>
    <row r="1140" spans="2:2" x14ac:dyDescent="0.25">
      <c r="B1140" s="52"/>
    </row>
    <row r="1141" spans="2:2" x14ac:dyDescent="0.25">
      <c r="B1141" s="52"/>
    </row>
    <row r="1142" spans="2:2" x14ac:dyDescent="0.25">
      <c r="B1142" s="52"/>
    </row>
    <row r="1143" spans="2:2" x14ac:dyDescent="0.25">
      <c r="B1143" s="52"/>
    </row>
    <row r="1144" spans="2:2" x14ac:dyDescent="0.25">
      <c r="B1144" s="52"/>
    </row>
    <row r="1145" spans="2:2" x14ac:dyDescent="0.25">
      <c r="B1145" s="52"/>
    </row>
    <row r="1146" spans="2:2" x14ac:dyDescent="0.25">
      <c r="B1146" s="52"/>
    </row>
    <row r="1147" spans="2:2" x14ac:dyDescent="0.25">
      <c r="B1147" s="52"/>
    </row>
    <row r="1148" spans="2:2" x14ac:dyDescent="0.25">
      <c r="B1148" s="52"/>
    </row>
    <row r="1149" spans="2:2" x14ac:dyDescent="0.25">
      <c r="B1149" s="52"/>
    </row>
    <row r="1150" spans="2:2" x14ac:dyDescent="0.25">
      <c r="B1150" s="52"/>
    </row>
    <row r="1151" spans="2:2" x14ac:dyDescent="0.25">
      <c r="B1151" s="52"/>
    </row>
    <row r="1152" spans="2:2" x14ac:dyDescent="0.25">
      <c r="B1152" s="52"/>
    </row>
    <row r="1153" spans="2:2" x14ac:dyDescent="0.25">
      <c r="B1153" s="52"/>
    </row>
    <row r="1154" spans="2:2" x14ac:dyDescent="0.25">
      <c r="B1154" s="52"/>
    </row>
    <row r="1155" spans="2:2" x14ac:dyDescent="0.25">
      <c r="B1155" s="52"/>
    </row>
    <row r="1156" spans="2:2" x14ac:dyDescent="0.25">
      <c r="B1156" s="52"/>
    </row>
    <row r="1157" spans="2:2" x14ac:dyDescent="0.25">
      <c r="B1157" s="52"/>
    </row>
    <row r="1158" spans="2:2" x14ac:dyDescent="0.25">
      <c r="B1158" s="52"/>
    </row>
    <row r="1159" spans="2:2" x14ac:dyDescent="0.25">
      <c r="B1159" s="52"/>
    </row>
    <row r="1160" spans="2:2" x14ac:dyDescent="0.25">
      <c r="B1160" s="52"/>
    </row>
    <row r="1161" spans="2:2" x14ac:dyDescent="0.25">
      <c r="B1161" s="52"/>
    </row>
    <row r="1162" spans="2:2" x14ac:dyDescent="0.25">
      <c r="B1162" s="52"/>
    </row>
    <row r="1163" spans="2:2" x14ac:dyDescent="0.25">
      <c r="B1163" s="52"/>
    </row>
    <row r="1164" spans="2:2" x14ac:dyDescent="0.25">
      <c r="B1164" s="52"/>
    </row>
    <row r="1165" spans="2:2" x14ac:dyDescent="0.25">
      <c r="B1165" s="52"/>
    </row>
    <row r="1166" spans="2:2" x14ac:dyDescent="0.25">
      <c r="B1166" s="52"/>
    </row>
    <row r="1167" spans="2:2" x14ac:dyDescent="0.25">
      <c r="B1167" s="52"/>
    </row>
    <row r="1168" spans="2:2" x14ac:dyDescent="0.25">
      <c r="B1168" s="52"/>
    </row>
    <row r="1169" spans="2:2" x14ac:dyDescent="0.25">
      <c r="B1169" s="52"/>
    </row>
    <row r="1170" spans="2:2" x14ac:dyDescent="0.25">
      <c r="B1170" s="52"/>
    </row>
    <row r="1171" spans="2:2" x14ac:dyDescent="0.25">
      <c r="B1171" s="52"/>
    </row>
    <row r="1172" spans="2:2" x14ac:dyDescent="0.25">
      <c r="B1172" s="52"/>
    </row>
    <row r="1173" spans="2:2" x14ac:dyDescent="0.25">
      <c r="B1173" s="52"/>
    </row>
    <row r="1174" spans="2:2" x14ac:dyDescent="0.25">
      <c r="B1174" s="52"/>
    </row>
    <row r="1175" spans="2:2" x14ac:dyDescent="0.25">
      <c r="B1175" s="52"/>
    </row>
    <row r="1176" spans="2:2" x14ac:dyDescent="0.25">
      <c r="B1176" s="52"/>
    </row>
    <row r="1177" spans="2:2" x14ac:dyDescent="0.25">
      <c r="B1177" s="52"/>
    </row>
    <row r="1178" spans="2:2" x14ac:dyDescent="0.25">
      <c r="B1178" s="52"/>
    </row>
    <row r="1179" spans="2:2" x14ac:dyDescent="0.25">
      <c r="B1179" s="52"/>
    </row>
    <row r="1180" spans="2:2" x14ac:dyDescent="0.25">
      <c r="B1180" s="52"/>
    </row>
    <row r="1181" spans="2:2" x14ac:dyDescent="0.25">
      <c r="B1181" s="52"/>
    </row>
    <row r="1182" spans="2:2" x14ac:dyDescent="0.25">
      <c r="B1182" s="52"/>
    </row>
    <row r="1183" spans="2:2" x14ac:dyDescent="0.25">
      <c r="B1183" s="52"/>
    </row>
    <row r="1184" spans="2:2" x14ac:dyDescent="0.25">
      <c r="B1184" s="52"/>
    </row>
    <row r="1185" spans="2:2" x14ac:dyDescent="0.25">
      <c r="B1185" s="52"/>
    </row>
    <row r="1186" spans="2:2" x14ac:dyDescent="0.25">
      <c r="B1186" s="52"/>
    </row>
    <row r="1187" spans="2:2" x14ac:dyDescent="0.25">
      <c r="B1187" s="52"/>
    </row>
    <row r="1188" spans="2:2" x14ac:dyDescent="0.25">
      <c r="B1188" s="52"/>
    </row>
    <row r="1189" spans="2:2" x14ac:dyDescent="0.25">
      <c r="B1189" s="52"/>
    </row>
    <row r="1190" spans="2:2" x14ac:dyDescent="0.25">
      <c r="B1190" s="52"/>
    </row>
    <row r="1191" spans="2:2" x14ac:dyDescent="0.25">
      <c r="B1191" s="52"/>
    </row>
    <row r="1192" spans="2:2" x14ac:dyDescent="0.25">
      <c r="B1192" s="52"/>
    </row>
    <row r="1193" spans="2:2" x14ac:dyDescent="0.25">
      <c r="B1193" s="52"/>
    </row>
    <row r="1194" spans="2:2" x14ac:dyDescent="0.25">
      <c r="B1194" s="52"/>
    </row>
    <row r="1195" spans="2:2" x14ac:dyDescent="0.25">
      <c r="B1195" s="52"/>
    </row>
    <row r="1196" spans="2:2" x14ac:dyDescent="0.25">
      <c r="B1196" s="52"/>
    </row>
    <row r="1197" spans="2:2" x14ac:dyDescent="0.25">
      <c r="B1197" s="52"/>
    </row>
    <row r="1198" spans="2:2" x14ac:dyDescent="0.25">
      <c r="B1198" s="52"/>
    </row>
    <row r="1199" spans="2:2" x14ac:dyDescent="0.25">
      <c r="B1199" s="52"/>
    </row>
    <row r="1200" spans="2:2" x14ac:dyDescent="0.25">
      <c r="B1200" s="52"/>
    </row>
    <row r="1201" spans="2:2" x14ac:dyDescent="0.25">
      <c r="B1201" s="52"/>
    </row>
    <row r="1202" spans="2:2" x14ac:dyDescent="0.25">
      <c r="B1202" s="52"/>
    </row>
    <row r="1203" spans="2:2" x14ac:dyDescent="0.25">
      <c r="B1203" s="52"/>
    </row>
    <row r="1204" spans="2:2" x14ac:dyDescent="0.25">
      <c r="B1204" s="52"/>
    </row>
    <row r="1205" spans="2:2" x14ac:dyDescent="0.25">
      <c r="B1205" s="52"/>
    </row>
    <row r="1206" spans="2:2" x14ac:dyDescent="0.25">
      <c r="B1206" s="52"/>
    </row>
    <row r="1207" spans="2:2" x14ac:dyDescent="0.25">
      <c r="B1207" s="52"/>
    </row>
    <row r="1208" spans="2:2" x14ac:dyDescent="0.25">
      <c r="B1208" s="52"/>
    </row>
    <row r="1209" spans="2:2" x14ac:dyDescent="0.25">
      <c r="B1209" s="52"/>
    </row>
    <row r="1210" spans="2:2" x14ac:dyDescent="0.25">
      <c r="B1210" s="52"/>
    </row>
    <row r="1211" spans="2:2" x14ac:dyDescent="0.25">
      <c r="B1211" s="52"/>
    </row>
    <row r="1212" spans="2:2" x14ac:dyDescent="0.25">
      <c r="B1212" s="52"/>
    </row>
    <row r="1213" spans="2:2" x14ac:dyDescent="0.25">
      <c r="B1213" s="52"/>
    </row>
    <row r="1214" spans="2:2" x14ac:dyDescent="0.25">
      <c r="B1214" s="52"/>
    </row>
    <row r="1215" spans="2:2" x14ac:dyDescent="0.25">
      <c r="B1215" s="52"/>
    </row>
    <row r="1216" spans="2:2" x14ac:dyDescent="0.25">
      <c r="B1216" s="52"/>
    </row>
    <row r="1217" spans="2:2" x14ac:dyDescent="0.25">
      <c r="B1217" s="52"/>
    </row>
    <row r="1218" spans="2:2" x14ac:dyDescent="0.25">
      <c r="B1218" s="52"/>
    </row>
    <row r="1219" spans="2:2" x14ac:dyDescent="0.25">
      <c r="B1219" s="52"/>
    </row>
    <row r="1220" spans="2:2" x14ac:dyDescent="0.25">
      <c r="B1220" s="52"/>
    </row>
    <row r="1221" spans="2:2" x14ac:dyDescent="0.25">
      <c r="B1221" s="52"/>
    </row>
    <row r="1222" spans="2:2" x14ac:dyDescent="0.25">
      <c r="B1222" s="52"/>
    </row>
    <row r="1223" spans="2:2" x14ac:dyDescent="0.25">
      <c r="B1223" s="52"/>
    </row>
    <row r="1224" spans="2:2" x14ac:dyDescent="0.25">
      <c r="B1224" s="52"/>
    </row>
    <row r="1225" spans="2:2" x14ac:dyDescent="0.25">
      <c r="B1225" s="52"/>
    </row>
    <row r="1226" spans="2:2" x14ac:dyDescent="0.25">
      <c r="B1226" s="52"/>
    </row>
    <row r="1227" spans="2:2" x14ac:dyDescent="0.25">
      <c r="B1227" s="52"/>
    </row>
    <row r="1228" spans="2:2" x14ac:dyDescent="0.25">
      <c r="B1228" s="52"/>
    </row>
    <row r="1229" spans="2:2" x14ac:dyDescent="0.25">
      <c r="B1229" s="52"/>
    </row>
    <row r="1230" spans="2:2" x14ac:dyDescent="0.25">
      <c r="B1230" s="52"/>
    </row>
    <row r="1231" spans="2:2" x14ac:dyDescent="0.25">
      <c r="B1231" s="52"/>
    </row>
    <row r="1232" spans="2:2" x14ac:dyDescent="0.25">
      <c r="B1232" s="52"/>
    </row>
    <row r="1233" spans="2:2" x14ac:dyDescent="0.25">
      <c r="B1233" s="52"/>
    </row>
    <row r="1234" spans="2:2" x14ac:dyDescent="0.25">
      <c r="B1234" s="52"/>
    </row>
    <row r="1235" spans="2:2" x14ac:dyDescent="0.25">
      <c r="B1235" s="52"/>
    </row>
    <row r="1236" spans="2:2" x14ac:dyDescent="0.25">
      <c r="B1236" s="52"/>
    </row>
    <row r="1237" spans="2:2" x14ac:dyDescent="0.25">
      <c r="B1237" s="52"/>
    </row>
    <row r="1238" spans="2:2" x14ac:dyDescent="0.25">
      <c r="B1238" s="52"/>
    </row>
    <row r="1239" spans="2:2" x14ac:dyDescent="0.25">
      <c r="B1239" s="52"/>
    </row>
    <row r="1240" spans="2:2" x14ac:dyDescent="0.25">
      <c r="B1240" s="52"/>
    </row>
    <row r="1241" spans="2:2" x14ac:dyDescent="0.25">
      <c r="B1241" s="52"/>
    </row>
    <row r="1242" spans="2:2" x14ac:dyDescent="0.25">
      <c r="B1242" s="52"/>
    </row>
    <row r="1243" spans="2:2" x14ac:dyDescent="0.25">
      <c r="B1243" s="52"/>
    </row>
    <row r="1244" spans="2:2" x14ac:dyDescent="0.25">
      <c r="B1244" s="52"/>
    </row>
    <row r="1245" spans="2:2" x14ac:dyDescent="0.25">
      <c r="B1245" s="52"/>
    </row>
    <row r="1246" spans="2:2" x14ac:dyDescent="0.25">
      <c r="B1246" s="52"/>
    </row>
    <row r="1247" spans="2:2" x14ac:dyDescent="0.25">
      <c r="B1247" s="52"/>
    </row>
    <row r="1248" spans="2:2" x14ac:dyDescent="0.25">
      <c r="B1248" s="52"/>
    </row>
    <row r="1249" spans="2:2" x14ac:dyDescent="0.25">
      <c r="B1249" s="52"/>
    </row>
    <row r="1250" spans="2:2" x14ac:dyDescent="0.25">
      <c r="B1250" s="52"/>
    </row>
    <row r="1251" spans="2:2" x14ac:dyDescent="0.25">
      <c r="B1251" s="52"/>
    </row>
    <row r="1252" spans="2:2" x14ac:dyDescent="0.25">
      <c r="B1252" s="52"/>
    </row>
    <row r="1253" spans="2:2" x14ac:dyDescent="0.25">
      <c r="B1253" s="52"/>
    </row>
    <row r="1254" spans="2:2" x14ac:dyDescent="0.25">
      <c r="B1254" s="52"/>
    </row>
    <row r="1255" spans="2:2" x14ac:dyDescent="0.25">
      <c r="B1255" s="52"/>
    </row>
    <row r="1256" spans="2:2" x14ac:dyDescent="0.25">
      <c r="B1256" s="52"/>
    </row>
    <row r="1257" spans="2:2" x14ac:dyDescent="0.25">
      <c r="B1257" s="52"/>
    </row>
    <row r="1258" spans="2:2" x14ac:dyDescent="0.25">
      <c r="B1258" s="52"/>
    </row>
    <row r="1259" spans="2:2" x14ac:dyDescent="0.25">
      <c r="B1259" s="52"/>
    </row>
    <row r="1260" spans="2:2" x14ac:dyDescent="0.25">
      <c r="B1260" s="52"/>
    </row>
    <row r="1261" spans="2:2" x14ac:dyDescent="0.25">
      <c r="B1261" s="52"/>
    </row>
    <row r="1262" spans="2:2" x14ac:dyDescent="0.25">
      <c r="B1262" s="52"/>
    </row>
    <row r="1263" spans="2:2" x14ac:dyDescent="0.25">
      <c r="B1263" s="52"/>
    </row>
    <row r="1264" spans="2:2" x14ac:dyDescent="0.25">
      <c r="B1264" s="52"/>
    </row>
    <row r="1265" spans="2:2" x14ac:dyDescent="0.25">
      <c r="B1265" s="52"/>
    </row>
    <row r="1266" spans="2:2" x14ac:dyDescent="0.25">
      <c r="B1266" s="52"/>
    </row>
    <row r="1267" spans="2:2" x14ac:dyDescent="0.25">
      <c r="B1267" s="52"/>
    </row>
    <row r="1268" spans="2:2" x14ac:dyDescent="0.25">
      <c r="B1268" s="52"/>
    </row>
    <row r="1269" spans="2:2" x14ac:dyDescent="0.25">
      <c r="B1269" s="52"/>
    </row>
    <row r="1270" spans="2:2" x14ac:dyDescent="0.25">
      <c r="B1270" s="52"/>
    </row>
    <row r="1271" spans="2:2" x14ac:dyDescent="0.25">
      <c r="B1271" s="52"/>
    </row>
    <row r="1272" spans="2:2" x14ac:dyDescent="0.25">
      <c r="B1272" s="52"/>
    </row>
    <row r="1273" spans="2:2" x14ac:dyDescent="0.25">
      <c r="B1273" s="52"/>
    </row>
    <row r="1274" spans="2:2" x14ac:dyDescent="0.25">
      <c r="B1274" s="52"/>
    </row>
    <row r="1275" spans="2:2" x14ac:dyDescent="0.25">
      <c r="B1275" s="52"/>
    </row>
    <row r="1276" spans="2:2" x14ac:dyDescent="0.25">
      <c r="B1276" s="52"/>
    </row>
    <row r="1277" spans="2:2" x14ac:dyDescent="0.25">
      <c r="B1277" s="52"/>
    </row>
    <row r="1278" spans="2:2" x14ac:dyDescent="0.25">
      <c r="B1278" s="52"/>
    </row>
    <row r="1279" spans="2:2" x14ac:dyDescent="0.25">
      <c r="B1279" s="52"/>
    </row>
    <row r="1280" spans="2:2" x14ac:dyDescent="0.25">
      <c r="B1280" s="52"/>
    </row>
    <row r="1281" spans="2:2" x14ac:dyDescent="0.25">
      <c r="B1281" s="52"/>
    </row>
    <row r="1282" spans="2:2" x14ac:dyDescent="0.25">
      <c r="B1282" s="52"/>
    </row>
    <row r="1283" spans="2:2" x14ac:dyDescent="0.25">
      <c r="B1283" s="52"/>
    </row>
    <row r="1284" spans="2:2" x14ac:dyDescent="0.25">
      <c r="B1284" s="52"/>
    </row>
    <row r="1285" spans="2:2" x14ac:dyDescent="0.25">
      <c r="B1285" s="52"/>
    </row>
    <row r="1286" spans="2:2" x14ac:dyDescent="0.25">
      <c r="B1286" s="52"/>
    </row>
    <row r="1287" spans="2:2" x14ac:dyDescent="0.25">
      <c r="B1287" s="52"/>
    </row>
    <row r="1288" spans="2:2" x14ac:dyDescent="0.25">
      <c r="B1288" s="52"/>
    </row>
    <row r="1289" spans="2:2" x14ac:dyDescent="0.25">
      <c r="B1289" s="52"/>
    </row>
    <row r="1290" spans="2:2" x14ac:dyDescent="0.25">
      <c r="B1290" s="52"/>
    </row>
    <row r="1291" spans="2:2" x14ac:dyDescent="0.25">
      <c r="B1291" s="52"/>
    </row>
    <row r="1292" spans="2:2" x14ac:dyDescent="0.25">
      <c r="B1292" s="52"/>
    </row>
    <row r="1293" spans="2:2" x14ac:dyDescent="0.25">
      <c r="B1293" s="52"/>
    </row>
    <row r="1294" spans="2:2" x14ac:dyDescent="0.25">
      <c r="B1294" s="52"/>
    </row>
    <row r="1295" spans="2:2" x14ac:dyDescent="0.25">
      <c r="B1295" s="52"/>
    </row>
    <row r="1296" spans="2:2" x14ac:dyDescent="0.25">
      <c r="B1296" s="52"/>
    </row>
    <row r="1297" spans="2:2" x14ac:dyDescent="0.25">
      <c r="B1297" s="52"/>
    </row>
    <row r="1298" spans="2:2" x14ac:dyDescent="0.25">
      <c r="B1298" s="52"/>
    </row>
    <row r="1299" spans="2:2" x14ac:dyDescent="0.25">
      <c r="B1299" s="52"/>
    </row>
    <row r="1300" spans="2:2" x14ac:dyDescent="0.25">
      <c r="B1300" s="52"/>
    </row>
    <row r="1301" spans="2:2" x14ac:dyDescent="0.25">
      <c r="B1301" s="52"/>
    </row>
    <row r="1302" spans="2:2" x14ac:dyDescent="0.25">
      <c r="B1302" s="52"/>
    </row>
    <row r="1303" spans="2:2" x14ac:dyDescent="0.25">
      <c r="B1303" s="52"/>
    </row>
    <row r="1304" spans="2:2" x14ac:dyDescent="0.25">
      <c r="B1304" s="52"/>
    </row>
    <row r="1305" spans="2:2" x14ac:dyDescent="0.25">
      <c r="B1305" s="52"/>
    </row>
    <row r="1306" spans="2:2" x14ac:dyDescent="0.25">
      <c r="B1306" s="52"/>
    </row>
    <row r="1307" spans="2:2" x14ac:dyDescent="0.25">
      <c r="B1307" s="52"/>
    </row>
    <row r="1308" spans="2:2" x14ac:dyDescent="0.25">
      <c r="B1308" s="52"/>
    </row>
    <row r="1309" spans="2:2" x14ac:dyDescent="0.25">
      <c r="B1309" s="52"/>
    </row>
    <row r="1310" spans="2:2" x14ac:dyDescent="0.25">
      <c r="B1310" s="52"/>
    </row>
    <row r="1311" spans="2:2" x14ac:dyDescent="0.25">
      <c r="B1311" s="52"/>
    </row>
    <row r="1312" spans="2:2" x14ac:dyDescent="0.25">
      <c r="B1312" s="52"/>
    </row>
    <row r="1313" spans="2:2" x14ac:dyDescent="0.25">
      <c r="B1313" s="52"/>
    </row>
    <row r="1314" spans="2:2" x14ac:dyDescent="0.25">
      <c r="B1314" s="52"/>
    </row>
    <row r="1315" spans="2:2" x14ac:dyDescent="0.25">
      <c r="B1315" s="52"/>
    </row>
    <row r="1316" spans="2:2" x14ac:dyDescent="0.25">
      <c r="B1316" s="52"/>
    </row>
    <row r="1317" spans="2:2" x14ac:dyDescent="0.25">
      <c r="B1317" s="52"/>
    </row>
    <row r="1318" spans="2:2" x14ac:dyDescent="0.25">
      <c r="B1318" s="52"/>
    </row>
    <row r="1319" spans="2:2" x14ac:dyDescent="0.25">
      <c r="B1319" s="52"/>
    </row>
    <row r="1320" spans="2:2" x14ac:dyDescent="0.25">
      <c r="B1320" s="52"/>
    </row>
    <row r="1321" spans="2:2" x14ac:dyDescent="0.25">
      <c r="B1321" s="52"/>
    </row>
    <row r="1322" spans="2:2" x14ac:dyDescent="0.25">
      <c r="B1322" s="52"/>
    </row>
    <row r="1323" spans="2:2" x14ac:dyDescent="0.25">
      <c r="B1323" s="52"/>
    </row>
    <row r="1324" spans="2:2" x14ac:dyDescent="0.25">
      <c r="B1324" s="52"/>
    </row>
    <row r="1325" spans="2:2" x14ac:dyDescent="0.25">
      <c r="B1325" s="52"/>
    </row>
    <row r="1326" spans="2:2" x14ac:dyDescent="0.25">
      <c r="B1326" s="52"/>
    </row>
    <row r="1327" spans="2:2" x14ac:dyDescent="0.25">
      <c r="B1327" s="52"/>
    </row>
    <row r="1328" spans="2:2" x14ac:dyDescent="0.25">
      <c r="B1328" s="52"/>
    </row>
    <row r="1329" spans="2:2" x14ac:dyDescent="0.25">
      <c r="B1329" s="52"/>
    </row>
    <row r="1330" spans="2:2" x14ac:dyDescent="0.25">
      <c r="B1330" s="52"/>
    </row>
    <row r="1331" spans="2:2" x14ac:dyDescent="0.25">
      <c r="B1331" s="52"/>
    </row>
    <row r="1332" spans="2:2" x14ac:dyDescent="0.25">
      <c r="B1332" s="52"/>
    </row>
    <row r="1333" spans="2:2" x14ac:dyDescent="0.25">
      <c r="B1333" s="52"/>
    </row>
    <row r="1334" spans="2:2" x14ac:dyDescent="0.25">
      <c r="B1334" s="52"/>
    </row>
    <row r="1335" spans="2:2" x14ac:dyDescent="0.25">
      <c r="B1335" s="52"/>
    </row>
    <row r="1336" spans="2:2" x14ac:dyDescent="0.25">
      <c r="B1336" s="52"/>
    </row>
    <row r="1337" spans="2:2" x14ac:dyDescent="0.25">
      <c r="B1337" s="52"/>
    </row>
    <row r="1338" spans="2:2" x14ac:dyDescent="0.25">
      <c r="B1338" s="52"/>
    </row>
    <row r="1339" spans="2:2" x14ac:dyDescent="0.25">
      <c r="B1339" s="52"/>
    </row>
    <row r="1340" spans="2:2" x14ac:dyDescent="0.25">
      <c r="B1340" s="52"/>
    </row>
    <row r="1341" spans="2:2" x14ac:dyDescent="0.25">
      <c r="B1341" s="52"/>
    </row>
    <row r="1342" spans="2:2" x14ac:dyDescent="0.25">
      <c r="B1342" s="52"/>
    </row>
    <row r="1343" spans="2:2" x14ac:dyDescent="0.25">
      <c r="B1343" s="52"/>
    </row>
    <row r="1344" spans="2:2" x14ac:dyDescent="0.25">
      <c r="B1344" s="52"/>
    </row>
    <row r="1345" spans="2:2" x14ac:dyDescent="0.25">
      <c r="B1345" s="52"/>
    </row>
    <row r="1346" spans="2:2" x14ac:dyDescent="0.25">
      <c r="B1346" s="52"/>
    </row>
    <row r="1347" spans="2:2" x14ac:dyDescent="0.25">
      <c r="B1347" s="52"/>
    </row>
    <row r="1348" spans="2:2" x14ac:dyDescent="0.25">
      <c r="B1348" s="52"/>
    </row>
    <row r="1349" spans="2:2" x14ac:dyDescent="0.25">
      <c r="B1349" s="52"/>
    </row>
    <row r="1350" spans="2:2" x14ac:dyDescent="0.25">
      <c r="B1350" s="52"/>
    </row>
    <row r="1351" spans="2:2" x14ac:dyDescent="0.25">
      <c r="B1351" s="52"/>
    </row>
    <row r="1352" spans="2:2" x14ac:dyDescent="0.25">
      <c r="B1352" s="52"/>
    </row>
    <row r="1353" spans="2:2" x14ac:dyDescent="0.25">
      <c r="B1353" s="52"/>
    </row>
    <row r="1354" spans="2:2" x14ac:dyDescent="0.25">
      <c r="B1354" s="52"/>
    </row>
    <row r="1355" spans="2:2" x14ac:dyDescent="0.25">
      <c r="B1355" s="52"/>
    </row>
    <row r="1356" spans="2:2" x14ac:dyDescent="0.25">
      <c r="B1356" s="52"/>
    </row>
    <row r="1357" spans="2:2" x14ac:dyDescent="0.25">
      <c r="B1357" s="52"/>
    </row>
    <row r="1358" spans="2:2" x14ac:dyDescent="0.25">
      <c r="B1358" s="52"/>
    </row>
    <row r="1359" spans="2:2" x14ac:dyDescent="0.25">
      <c r="B1359" s="52"/>
    </row>
    <row r="1360" spans="2:2" x14ac:dyDescent="0.25">
      <c r="B1360" s="52"/>
    </row>
    <row r="1361" spans="2:2" x14ac:dyDescent="0.25">
      <c r="B1361" s="52"/>
    </row>
    <row r="1362" spans="2:2" x14ac:dyDescent="0.25">
      <c r="B1362" s="52"/>
    </row>
    <row r="1363" spans="2:2" x14ac:dyDescent="0.25">
      <c r="B1363" s="52"/>
    </row>
    <row r="1364" spans="2:2" x14ac:dyDescent="0.25">
      <c r="B1364" s="52"/>
    </row>
    <row r="1365" spans="2:2" x14ac:dyDescent="0.25">
      <c r="B1365" s="52"/>
    </row>
    <row r="1366" spans="2:2" x14ac:dyDescent="0.25">
      <c r="B1366" s="52"/>
    </row>
    <row r="1367" spans="2:2" x14ac:dyDescent="0.25">
      <c r="B1367" s="52"/>
    </row>
    <row r="1368" spans="2:2" x14ac:dyDescent="0.25">
      <c r="B1368" s="52"/>
    </row>
    <row r="1369" spans="2:2" x14ac:dyDescent="0.25">
      <c r="B1369" s="52"/>
    </row>
    <row r="1370" spans="2:2" x14ac:dyDescent="0.25">
      <c r="B1370" s="52"/>
    </row>
    <row r="1371" spans="2:2" x14ac:dyDescent="0.25">
      <c r="B1371" s="52"/>
    </row>
    <row r="1372" spans="2:2" x14ac:dyDescent="0.25">
      <c r="B1372" s="52"/>
    </row>
    <row r="1373" spans="2:2" x14ac:dyDescent="0.25">
      <c r="B1373" s="52"/>
    </row>
    <row r="1374" spans="2:2" x14ac:dyDescent="0.25">
      <c r="B1374" s="52"/>
    </row>
    <row r="1375" spans="2:2" x14ac:dyDescent="0.25">
      <c r="B1375" s="52"/>
    </row>
    <row r="1376" spans="2:2" x14ac:dyDescent="0.25">
      <c r="B1376" s="52"/>
    </row>
    <row r="1377" spans="2:2" x14ac:dyDescent="0.25">
      <c r="B1377" s="52"/>
    </row>
    <row r="1378" spans="2:2" x14ac:dyDescent="0.25">
      <c r="B1378" s="52"/>
    </row>
    <row r="1379" spans="2:2" x14ac:dyDescent="0.25">
      <c r="B1379" s="52"/>
    </row>
    <row r="1380" spans="2:2" x14ac:dyDescent="0.25">
      <c r="B1380" s="52"/>
    </row>
    <row r="1381" spans="2:2" x14ac:dyDescent="0.25">
      <c r="B1381" s="52"/>
    </row>
    <row r="1382" spans="2:2" x14ac:dyDescent="0.25">
      <c r="B1382" s="52"/>
    </row>
    <row r="1383" spans="2:2" x14ac:dyDescent="0.25">
      <c r="B1383" s="52"/>
    </row>
    <row r="1384" spans="2:2" x14ac:dyDescent="0.25">
      <c r="B1384" s="52"/>
    </row>
    <row r="1385" spans="2:2" x14ac:dyDescent="0.25">
      <c r="B1385" s="52"/>
    </row>
    <row r="1386" spans="2:2" x14ac:dyDescent="0.25">
      <c r="B1386" s="52"/>
    </row>
    <row r="1387" spans="2:2" x14ac:dyDescent="0.25">
      <c r="B1387" s="52"/>
    </row>
    <row r="1388" spans="2:2" x14ac:dyDescent="0.25">
      <c r="B1388" s="52"/>
    </row>
    <row r="1389" spans="2:2" x14ac:dyDescent="0.25">
      <c r="B1389" s="52"/>
    </row>
    <row r="1390" spans="2:2" x14ac:dyDescent="0.25">
      <c r="B1390" s="52"/>
    </row>
    <row r="1391" spans="2:2" x14ac:dyDescent="0.25">
      <c r="B1391" s="52"/>
    </row>
    <row r="1392" spans="2:2" x14ac:dyDescent="0.25">
      <c r="B1392" s="52"/>
    </row>
    <row r="1393" spans="2:2" x14ac:dyDescent="0.25">
      <c r="B1393" s="52"/>
    </row>
    <row r="1394" spans="2:2" x14ac:dyDescent="0.25">
      <c r="B1394" s="52"/>
    </row>
    <row r="1395" spans="2:2" x14ac:dyDescent="0.25">
      <c r="B1395" s="52"/>
    </row>
    <row r="1396" spans="2:2" x14ac:dyDescent="0.25">
      <c r="B1396" s="52"/>
    </row>
    <row r="1397" spans="2:2" x14ac:dyDescent="0.25">
      <c r="B1397" s="52"/>
    </row>
    <row r="1398" spans="2:2" x14ac:dyDescent="0.25">
      <c r="B1398" s="52"/>
    </row>
    <row r="1399" spans="2:2" x14ac:dyDescent="0.25">
      <c r="B1399" s="52"/>
    </row>
    <row r="1400" spans="2:2" x14ac:dyDescent="0.25">
      <c r="B1400" s="52"/>
    </row>
    <row r="1401" spans="2:2" x14ac:dyDescent="0.25">
      <c r="B1401" s="52"/>
    </row>
    <row r="1402" spans="2:2" x14ac:dyDescent="0.25">
      <c r="B1402" s="52"/>
    </row>
    <row r="1403" spans="2:2" x14ac:dyDescent="0.25">
      <c r="B1403" s="52"/>
    </row>
    <row r="1404" spans="2:2" x14ac:dyDescent="0.25">
      <c r="B1404" s="52"/>
    </row>
    <row r="1405" spans="2:2" x14ac:dyDescent="0.25">
      <c r="B1405" s="52"/>
    </row>
    <row r="1406" spans="2:2" x14ac:dyDescent="0.25">
      <c r="B1406" s="52"/>
    </row>
    <row r="1407" spans="2:2" x14ac:dyDescent="0.25">
      <c r="B1407" s="52"/>
    </row>
    <row r="1408" spans="2:2" x14ac:dyDescent="0.25">
      <c r="B1408" s="52"/>
    </row>
    <row r="1409" spans="2:2" x14ac:dyDescent="0.25">
      <c r="B1409" s="52"/>
    </row>
    <row r="1410" spans="2:2" x14ac:dyDescent="0.25">
      <c r="B1410" s="52"/>
    </row>
    <row r="1411" spans="2:2" x14ac:dyDescent="0.25">
      <c r="B1411" s="52"/>
    </row>
    <row r="1412" spans="2:2" x14ac:dyDescent="0.25">
      <c r="B1412" s="52"/>
    </row>
    <row r="1413" spans="2:2" x14ac:dyDescent="0.25">
      <c r="B1413" s="52"/>
    </row>
    <row r="1414" spans="2:2" x14ac:dyDescent="0.25">
      <c r="B1414" s="52"/>
    </row>
    <row r="1415" spans="2:2" x14ac:dyDescent="0.25">
      <c r="B1415" s="52"/>
    </row>
    <row r="1416" spans="2:2" x14ac:dyDescent="0.25">
      <c r="B1416" s="52"/>
    </row>
    <row r="1417" spans="2:2" x14ac:dyDescent="0.25">
      <c r="B1417" s="52"/>
    </row>
    <row r="1418" spans="2:2" x14ac:dyDescent="0.25">
      <c r="B1418" s="52"/>
    </row>
    <row r="1419" spans="2:2" x14ac:dyDescent="0.25">
      <c r="B1419" s="52"/>
    </row>
    <row r="1420" spans="2:2" x14ac:dyDescent="0.25">
      <c r="B1420" s="52"/>
    </row>
    <row r="1421" spans="2:2" x14ac:dyDescent="0.25">
      <c r="B1421" s="52"/>
    </row>
    <row r="1422" spans="2:2" x14ac:dyDescent="0.25">
      <c r="B1422" s="52"/>
    </row>
    <row r="1423" spans="2:2" x14ac:dyDescent="0.25">
      <c r="B1423" s="52"/>
    </row>
    <row r="1424" spans="2:2" x14ac:dyDescent="0.25">
      <c r="B1424" s="52"/>
    </row>
    <row r="1425" spans="2:2" x14ac:dyDescent="0.25">
      <c r="B1425" s="52"/>
    </row>
    <row r="1426" spans="2:2" x14ac:dyDescent="0.25">
      <c r="B1426" s="52"/>
    </row>
    <row r="1427" spans="2:2" x14ac:dyDescent="0.25">
      <c r="B1427" s="52"/>
    </row>
    <row r="1428" spans="2:2" x14ac:dyDescent="0.25">
      <c r="B1428" s="52"/>
    </row>
    <row r="1429" spans="2:2" x14ac:dyDescent="0.25">
      <c r="B1429" s="52"/>
    </row>
    <row r="1430" spans="2:2" x14ac:dyDescent="0.25">
      <c r="B1430" s="52"/>
    </row>
    <row r="1431" spans="2:2" x14ac:dyDescent="0.25">
      <c r="B1431" s="52"/>
    </row>
    <row r="1432" spans="2:2" x14ac:dyDescent="0.25">
      <c r="B1432" s="52"/>
    </row>
    <row r="1433" spans="2:2" x14ac:dyDescent="0.25">
      <c r="B1433" s="52"/>
    </row>
    <row r="1434" spans="2:2" x14ac:dyDescent="0.25">
      <c r="B1434" s="52"/>
    </row>
    <row r="1435" spans="2:2" x14ac:dyDescent="0.25">
      <c r="B1435" s="52"/>
    </row>
    <row r="1436" spans="2:2" x14ac:dyDescent="0.25">
      <c r="B1436" s="52"/>
    </row>
    <row r="1437" spans="2:2" x14ac:dyDescent="0.25">
      <c r="B1437" s="52"/>
    </row>
    <row r="1438" spans="2:2" x14ac:dyDescent="0.25">
      <c r="B1438" s="52"/>
    </row>
    <row r="1439" spans="2:2" x14ac:dyDescent="0.25">
      <c r="B1439" s="52"/>
    </row>
    <row r="1440" spans="2:2" x14ac:dyDescent="0.25">
      <c r="B1440" s="52"/>
    </row>
    <row r="1441" spans="2:2" x14ac:dyDescent="0.25">
      <c r="B1441" s="52"/>
    </row>
    <row r="1442" spans="2:2" x14ac:dyDescent="0.25">
      <c r="B1442" s="52"/>
    </row>
    <row r="1443" spans="2:2" x14ac:dyDescent="0.25">
      <c r="B1443" s="52"/>
    </row>
    <row r="1444" spans="2:2" x14ac:dyDescent="0.25">
      <c r="B1444" s="52"/>
    </row>
    <row r="1445" spans="2:2" x14ac:dyDescent="0.25">
      <c r="B1445" s="52"/>
    </row>
    <row r="1446" spans="2:2" x14ac:dyDescent="0.25">
      <c r="B1446" s="52"/>
    </row>
    <row r="1447" spans="2:2" x14ac:dyDescent="0.25">
      <c r="B1447" s="52"/>
    </row>
    <row r="1448" spans="2:2" x14ac:dyDescent="0.25">
      <c r="B1448" s="52"/>
    </row>
    <row r="1449" spans="2:2" x14ac:dyDescent="0.25">
      <c r="B1449" s="52"/>
    </row>
    <row r="1450" spans="2:2" x14ac:dyDescent="0.25">
      <c r="B1450" s="52"/>
    </row>
    <row r="1451" spans="2:2" x14ac:dyDescent="0.25">
      <c r="B1451" s="52"/>
    </row>
    <row r="1452" spans="2:2" x14ac:dyDescent="0.25">
      <c r="B1452" s="52"/>
    </row>
    <row r="1453" spans="2:2" x14ac:dyDescent="0.25">
      <c r="B1453" s="52"/>
    </row>
    <row r="1454" spans="2:2" x14ac:dyDescent="0.25">
      <c r="B1454" s="52"/>
    </row>
    <row r="1455" spans="2:2" x14ac:dyDescent="0.25">
      <c r="B1455" s="52"/>
    </row>
    <row r="1456" spans="2:2" x14ac:dyDescent="0.25">
      <c r="B1456" s="52"/>
    </row>
    <row r="1457" spans="2:2" x14ac:dyDescent="0.25">
      <c r="B1457" s="52"/>
    </row>
    <row r="1458" spans="2:2" x14ac:dyDescent="0.25">
      <c r="B1458" s="52"/>
    </row>
    <row r="1459" spans="2:2" x14ac:dyDescent="0.25">
      <c r="B1459" s="52"/>
    </row>
    <row r="1460" spans="2:2" x14ac:dyDescent="0.25">
      <c r="B1460" s="52"/>
    </row>
    <row r="1461" spans="2:2" x14ac:dyDescent="0.25">
      <c r="B1461" s="52"/>
    </row>
    <row r="1462" spans="2:2" x14ac:dyDescent="0.25">
      <c r="B1462" s="52"/>
    </row>
    <row r="1463" spans="2:2" x14ac:dyDescent="0.25">
      <c r="B1463" s="52"/>
    </row>
    <row r="1464" spans="2:2" x14ac:dyDescent="0.25">
      <c r="B1464" s="52"/>
    </row>
    <row r="1465" spans="2:2" x14ac:dyDescent="0.25">
      <c r="B1465" s="52"/>
    </row>
    <row r="1466" spans="2:2" x14ac:dyDescent="0.25">
      <c r="B1466" s="52"/>
    </row>
    <row r="1467" spans="2:2" x14ac:dyDescent="0.25">
      <c r="B1467" s="52"/>
    </row>
    <row r="1468" spans="2:2" x14ac:dyDescent="0.25">
      <c r="B1468" s="52"/>
    </row>
    <row r="1469" spans="2:2" x14ac:dyDescent="0.25">
      <c r="B1469" s="52"/>
    </row>
    <row r="1470" spans="2:2" x14ac:dyDescent="0.25">
      <c r="B1470" s="52"/>
    </row>
    <row r="1471" spans="2:2" x14ac:dyDescent="0.25">
      <c r="B1471" s="52"/>
    </row>
    <row r="1472" spans="2:2" x14ac:dyDescent="0.25">
      <c r="B1472" s="52"/>
    </row>
    <row r="1473" spans="2:2" x14ac:dyDescent="0.25">
      <c r="B1473" s="52"/>
    </row>
    <row r="1474" spans="2:2" x14ac:dyDescent="0.25">
      <c r="B1474" s="52"/>
    </row>
    <row r="1475" spans="2:2" x14ac:dyDescent="0.25">
      <c r="B1475" s="52"/>
    </row>
    <row r="1476" spans="2:2" x14ac:dyDescent="0.25">
      <c r="B1476" s="52"/>
    </row>
    <row r="1477" spans="2:2" x14ac:dyDescent="0.25">
      <c r="B1477" s="52"/>
    </row>
    <row r="1478" spans="2:2" x14ac:dyDescent="0.25">
      <c r="B1478" s="52"/>
    </row>
    <row r="1479" spans="2:2" x14ac:dyDescent="0.25">
      <c r="B1479" s="52"/>
    </row>
    <row r="1480" spans="2:2" x14ac:dyDescent="0.25">
      <c r="B1480" s="52"/>
    </row>
    <row r="1481" spans="2:2" x14ac:dyDescent="0.25">
      <c r="B1481" s="52"/>
    </row>
    <row r="1482" spans="2:2" x14ac:dyDescent="0.25">
      <c r="B1482" s="52"/>
    </row>
    <row r="1483" spans="2:2" x14ac:dyDescent="0.25">
      <c r="B1483" s="52"/>
    </row>
    <row r="1484" spans="2:2" x14ac:dyDescent="0.25">
      <c r="B1484" s="52"/>
    </row>
    <row r="1485" spans="2:2" x14ac:dyDescent="0.25">
      <c r="B1485" s="52"/>
    </row>
    <row r="1486" spans="2:2" x14ac:dyDescent="0.25">
      <c r="B1486" s="52"/>
    </row>
    <row r="1487" spans="2:2" x14ac:dyDescent="0.25">
      <c r="B1487" s="52"/>
    </row>
    <row r="1488" spans="2:2" x14ac:dyDescent="0.25">
      <c r="B1488" s="52"/>
    </row>
    <row r="1489" spans="2:2" x14ac:dyDescent="0.25">
      <c r="B1489" s="52"/>
    </row>
    <row r="1490" spans="2:2" x14ac:dyDescent="0.25">
      <c r="B1490" s="52"/>
    </row>
    <row r="1491" spans="2:2" x14ac:dyDescent="0.25">
      <c r="B1491" s="52"/>
    </row>
    <row r="1492" spans="2:2" x14ac:dyDescent="0.25">
      <c r="B1492" s="52"/>
    </row>
    <row r="1493" spans="2:2" x14ac:dyDescent="0.25">
      <c r="B1493" s="52"/>
    </row>
    <row r="1494" spans="2:2" x14ac:dyDescent="0.25">
      <c r="B1494" s="52"/>
    </row>
    <row r="1495" spans="2:2" x14ac:dyDescent="0.25">
      <c r="B1495" s="52"/>
    </row>
    <row r="1496" spans="2:2" x14ac:dyDescent="0.25">
      <c r="B1496" s="52"/>
    </row>
    <row r="1497" spans="2:2" x14ac:dyDescent="0.25">
      <c r="B1497" s="52"/>
    </row>
    <row r="1498" spans="2:2" x14ac:dyDescent="0.25">
      <c r="B1498" s="52"/>
    </row>
    <row r="1499" spans="2:2" x14ac:dyDescent="0.25">
      <c r="B1499" s="52"/>
    </row>
    <row r="1500" spans="2:2" x14ac:dyDescent="0.25">
      <c r="B1500" s="52"/>
    </row>
    <row r="1501" spans="2:2" x14ac:dyDescent="0.25">
      <c r="B1501" s="52"/>
    </row>
    <row r="1502" spans="2:2" x14ac:dyDescent="0.25">
      <c r="B1502" s="52"/>
    </row>
    <row r="1503" spans="2:2" x14ac:dyDescent="0.25">
      <c r="B1503" s="52"/>
    </row>
    <row r="1504" spans="2:2" x14ac:dyDescent="0.25">
      <c r="B1504" s="52"/>
    </row>
    <row r="1505" spans="2:2" x14ac:dyDescent="0.25">
      <c r="B1505" s="52"/>
    </row>
    <row r="1506" spans="2:2" x14ac:dyDescent="0.25">
      <c r="B1506" s="52"/>
    </row>
    <row r="1507" spans="2:2" x14ac:dyDescent="0.25">
      <c r="B1507" s="52"/>
    </row>
    <row r="1508" spans="2:2" x14ac:dyDescent="0.25">
      <c r="B1508" s="52"/>
    </row>
    <row r="1509" spans="2:2" x14ac:dyDescent="0.25">
      <c r="B1509" s="52"/>
    </row>
    <row r="1510" spans="2:2" x14ac:dyDescent="0.25">
      <c r="B1510" s="52"/>
    </row>
    <row r="1511" spans="2:2" x14ac:dyDescent="0.25">
      <c r="B1511" s="52"/>
    </row>
    <row r="1512" spans="2:2" x14ac:dyDescent="0.25">
      <c r="B1512" s="52"/>
    </row>
    <row r="1513" spans="2:2" x14ac:dyDescent="0.25">
      <c r="B1513" s="52"/>
    </row>
    <row r="1514" spans="2:2" x14ac:dyDescent="0.25">
      <c r="B1514" s="52"/>
    </row>
    <row r="1515" spans="2:2" x14ac:dyDescent="0.25">
      <c r="B1515" s="52"/>
    </row>
    <row r="1516" spans="2:2" x14ac:dyDescent="0.25">
      <c r="B1516" s="52"/>
    </row>
    <row r="1517" spans="2:2" x14ac:dyDescent="0.25">
      <c r="B1517" s="52"/>
    </row>
    <row r="1518" spans="2:2" x14ac:dyDescent="0.25">
      <c r="B1518" s="52"/>
    </row>
    <row r="1519" spans="2:2" x14ac:dyDescent="0.25">
      <c r="B1519" s="52"/>
    </row>
    <row r="1520" spans="2:2" x14ac:dyDescent="0.25">
      <c r="B1520" s="52"/>
    </row>
    <row r="1521" spans="2:2" x14ac:dyDescent="0.25">
      <c r="B1521" s="52"/>
    </row>
    <row r="1522" spans="2:2" x14ac:dyDescent="0.25">
      <c r="B1522" s="52"/>
    </row>
    <row r="1523" spans="2:2" x14ac:dyDescent="0.25">
      <c r="B1523" s="52"/>
    </row>
    <row r="1524" spans="2:2" x14ac:dyDescent="0.25">
      <c r="B1524" s="52"/>
    </row>
    <row r="1525" spans="2:2" x14ac:dyDescent="0.25">
      <c r="B1525" s="52"/>
    </row>
    <row r="1526" spans="2:2" x14ac:dyDescent="0.25">
      <c r="B1526" s="52"/>
    </row>
    <row r="1527" spans="2:2" x14ac:dyDescent="0.25">
      <c r="B1527" s="52"/>
    </row>
    <row r="1528" spans="2:2" x14ac:dyDescent="0.25">
      <c r="B1528" s="52"/>
    </row>
    <row r="1529" spans="2:2" x14ac:dyDescent="0.25">
      <c r="B1529" s="52"/>
    </row>
    <row r="1530" spans="2:2" x14ac:dyDescent="0.25">
      <c r="B1530" s="52"/>
    </row>
    <row r="1531" spans="2:2" x14ac:dyDescent="0.25">
      <c r="B1531" s="52"/>
    </row>
    <row r="1532" spans="2:2" x14ac:dyDescent="0.25">
      <c r="B1532" s="52"/>
    </row>
    <row r="1533" spans="2:2" x14ac:dyDescent="0.25">
      <c r="B1533" s="52"/>
    </row>
    <row r="1534" spans="2:2" x14ac:dyDescent="0.25">
      <c r="B1534" s="52"/>
    </row>
    <row r="1535" spans="2:2" x14ac:dyDescent="0.25">
      <c r="B1535" s="52"/>
    </row>
    <row r="1536" spans="2:2" x14ac:dyDescent="0.25">
      <c r="B1536" s="52"/>
    </row>
    <row r="1537" spans="2:2" x14ac:dyDescent="0.25">
      <c r="B1537" s="52"/>
    </row>
    <row r="1538" spans="2:2" x14ac:dyDescent="0.25">
      <c r="B1538" s="52"/>
    </row>
    <row r="1539" spans="2:2" x14ac:dyDescent="0.25">
      <c r="B1539" s="52"/>
    </row>
    <row r="1540" spans="2:2" x14ac:dyDescent="0.25">
      <c r="B1540" s="52"/>
    </row>
    <row r="1541" spans="2:2" x14ac:dyDescent="0.25">
      <c r="B1541" s="52"/>
    </row>
    <row r="1542" spans="2:2" x14ac:dyDescent="0.25">
      <c r="B1542" s="52"/>
    </row>
    <row r="1543" spans="2:2" x14ac:dyDescent="0.25">
      <c r="B1543" s="52"/>
    </row>
    <row r="1544" spans="2:2" x14ac:dyDescent="0.25">
      <c r="B1544" s="52"/>
    </row>
    <row r="1545" spans="2:2" x14ac:dyDescent="0.25">
      <c r="B1545" s="52"/>
    </row>
    <row r="1546" spans="2:2" x14ac:dyDescent="0.25">
      <c r="B1546" s="52"/>
    </row>
    <row r="1547" spans="2:2" x14ac:dyDescent="0.25">
      <c r="B1547" s="52"/>
    </row>
    <row r="1548" spans="2:2" x14ac:dyDescent="0.25">
      <c r="B1548" s="52"/>
    </row>
    <row r="1549" spans="2:2" x14ac:dyDescent="0.25">
      <c r="B1549" s="52"/>
    </row>
    <row r="1550" spans="2:2" x14ac:dyDescent="0.25">
      <c r="B1550" s="52"/>
    </row>
    <row r="1551" spans="2:2" x14ac:dyDescent="0.25">
      <c r="B1551" s="52"/>
    </row>
    <row r="1552" spans="2:2" x14ac:dyDescent="0.25">
      <c r="B1552" s="52"/>
    </row>
    <row r="1553" spans="2:2" x14ac:dyDescent="0.25">
      <c r="B1553" s="52"/>
    </row>
    <row r="1554" spans="2:2" x14ac:dyDescent="0.25">
      <c r="B1554" s="52"/>
    </row>
    <row r="1555" spans="2:2" x14ac:dyDescent="0.25">
      <c r="B1555" s="52"/>
    </row>
    <row r="1556" spans="2:2" x14ac:dyDescent="0.25">
      <c r="B1556" s="52"/>
    </row>
    <row r="1557" spans="2:2" x14ac:dyDescent="0.25">
      <c r="B1557" s="52"/>
    </row>
    <row r="1558" spans="2:2" x14ac:dyDescent="0.25">
      <c r="B1558" s="52"/>
    </row>
    <row r="1559" spans="2:2" x14ac:dyDescent="0.25">
      <c r="B1559" s="52"/>
    </row>
    <row r="1560" spans="2:2" x14ac:dyDescent="0.25">
      <c r="B1560" s="52"/>
    </row>
    <row r="1561" spans="2:2" x14ac:dyDescent="0.25">
      <c r="B1561" s="52"/>
    </row>
    <row r="1562" spans="2:2" x14ac:dyDescent="0.25">
      <c r="B1562" s="52"/>
    </row>
    <row r="1563" spans="2:2" x14ac:dyDescent="0.25">
      <c r="B1563" s="52"/>
    </row>
    <row r="1564" spans="2:2" x14ac:dyDescent="0.25">
      <c r="B1564" s="52"/>
    </row>
    <row r="1565" spans="2:2" x14ac:dyDescent="0.25">
      <c r="B1565" s="52"/>
    </row>
    <row r="1566" spans="2:2" x14ac:dyDescent="0.25">
      <c r="B1566" s="52"/>
    </row>
    <row r="1567" spans="2:2" x14ac:dyDescent="0.25">
      <c r="B1567" s="52"/>
    </row>
    <row r="1568" spans="2:2" x14ac:dyDescent="0.25">
      <c r="B1568" s="52"/>
    </row>
    <row r="1569" spans="2:2" x14ac:dyDescent="0.25">
      <c r="B1569" s="52"/>
    </row>
    <row r="1570" spans="2:2" x14ac:dyDescent="0.25">
      <c r="B1570" s="52"/>
    </row>
    <row r="1571" spans="2:2" x14ac:dyDescent="0.25">
      <c r="B1571" s="52"/>
    </row>
    <row r="1572" spans="2:2" x14ac:dyDescent="0.25">
      <c r="B1572" s="52"/>
    </row>
    <row r="1573" spans="2:2" x14ac:dyDescent="0.25">
      <c r="B1573" s="52"/>
    </row>
    <row r="1574" spans="2:2" x14ac:dyDescent="0.25">
      <c r="B1574" s="52"/>
    </row>
    <row r="1575" spans="2:2" x14ac:dyDescent="0.25">
      <c r="B1575" s="52"/>
    </row>
    <row r="1576" spans="2:2" x14ac:dyDescent="0.25">
      <c r="B1576" s="52"/>
    </row>
    <row r="1577" spans="2:2" x14ac:dyDescent="0.25">
      <c r="B1577" s="52"/>
    </row>
    <row r="1578" spans="2:2" x14ac:dyDescent="0.25">
      <c r="B1578" s="52"/>
    </row>
    <row r="1579" spans="2:2" x14ac:dyDescent="0.25">
      <c r="B1579" s="52"/>
    </row>
    <row r="1580" spans="2:2" x14ac:dyDescent="0.25">
      <c r="B1580" s="52"/>
    </row>
    <row r="1581" spans="2:2" x14ac:dyDescent="0.25">
      <c r="B1581" s="52"/>
    </row>
    <row r="1582" spans="2:2" x14ac:dyDescent="0.25">
      <c r="B1582" s="52"/>
    </row>
    <row r="1583" spans="2:2" x14ac:dyDescent="0.25">
      <c r="B1583" s="52"/>
    </row>
    <row r="1584" spans="2:2" x14ac:dyDescent="0.25">
      <c r="B1584" s="52"/>
    </row>
    <row r="1585" spans="2:2" x14ac:dyDescent="0.25">
      <c r="B1585" s="52"/>
    </row>
    <row r="1586" spans="2:2" x14ac:dyDescent="0.25">
      <c r="B1586" s="52"/>
    </row>
    <row r="1587" spans="2:2" x14ac:dyDescent="0.25">
      <c r="B1587" s="52"/>
    </row>
    <row r="1588" spans="2:2" x14ac:dyDescent="0.25">
      <c r="B1588" s="52"/>
    </row>
    <row r="1589" spans="2:2" x14ac:dyDescent="0.25">
      <c r="B1589" s="52"/>
    </row>
    <row r="1590" spans="2:2" x14ac:dyDescent="0.25">
      <c r="B1590" s="52"/>
    </row>
    <row r="1591" spans="2:2" x14ac:dyDescent="0.25">
      <c r="B1591" s="52"/>
    </row>
    <row r="1592" spans="2:2" x14ac:dyDescent="0.25">
      <c r="B1592" s="52"/>
    </row>
    <row r="1593" spans="2:2" x14ac:dyDescent="0.25">
      <c r="B1593" s="52"/>
    </row>
    <row r="1594" spans="2:2" x14ac:dyDescent="0.25">
      <c r="B1594" s="52"/>
    </row>
    <row r="1595" spans="2:2" x14ac:dyDescent="0.25">
      <c r="B1595" s="52"/>
    </row>
    <row r="1596" spans="2:2" x14ac:dyDescent="0.25">
      <c r="B1596" s="52"/>
    </row>
    <row r="1597" spans="2:2" x14ac:dyDescent="0.25">
      <c r="B1597" s="52"/>
    </row>
    <row r="1598" spans="2:2" x14ac:dyDescent="0.25">
      <c r="B1598" s="52"/>
    </row>
    <row r="1599" spans="2:2" x14ac:dyDescent="0.25">
      <c r="B1599" s="52"/>
    </row>
    <row r="1600" spans="2:2" x14ac:dyDescent="0.25">
      <c r="B1600" s="52"/>
    </row>
    <row r="1601" spans="2:2" x14ac:dyDescent="0.25">
      <c r="B1601" s="52"/>
    </row>
    <row r="1602" spans="2:2" x14ac:dyDescent="0.25">
      <c r="B1602" s="52"/>
    </row>
    <row r="1603" spans="2:2" x14ac:dyDescent="0.25">
      <c r="B1603" s="52"/>
    </row>
    <row r="1604" spans="2:2" x14ac:dyDescent="0.25">
      <c r="B1604" s="52"/>
    </row>
    <row r="1605" spans="2:2" x14ac:dyDescent="0.25">
      <c r="B1605" s="52"/>
    </row>
    <row r="1606" spans="2:2" x14ac:dyDescent="0.25">
      <c r="B1606" s="52"/>
    </row>
    <row r="1607" spans="2:2" x14ac:dyDescent="0.25">
      <c r="B1607" s="52"/>
    </row>
    <row r="1608" spans="2:2" x14ac:dyDescent="0.25">
      <c r="B1608" s="52"/>
    </row>
    <row r="1609" spans="2:2" x14ac:dyDescent="0.25">
      <c r="B1609" s="52"/>
    </row>
    <row r="1610" spans="2:2" x14ac:dyDescent="0.25">
      <c r="B1610" s="52"/>
    </row>
    <row r="1611" spans="2:2" x14ac:dyDescent="0.25">
      <c r="B1611" s="52"/>
    </row>
    <row r="1612" spans="2:2" x14ac:dyDescent="0.25">
      <c r="B1612" s="52"/>
    </row>
    <row r="1613" spans="2:2" x14ac:dyDescent="0.25">
      <c r="B1613" s="52"/>
    </row>
    <row r="1614" spans="2:2" x14ac:dyDescent="0.25">
      <c r="B1614" s="52"/>
    </row>
    <row r="1615" spans="2:2" x14ac:dyDescent="0.25">
      <c r="B1615" s="52"/>
    </row>
    <row r="1616" spans="2:2" x14ac:dyDescent="0.25">
      <c r="B1616" s="52"/>
    </row>
    <row r="1617" spans="2:2" x14ac:dyDescent="0.25">
      <c r="B1617" s="52"/>
    </row>
    <row r="1618" spans="2:2" x14ac:dyDescent="0.25">
      <c r="B1618" s="52"/>
    </row>
    <row r="1619" spans="2:2" x14ac:dyDescent="0.25">
      <c r="B1619" s="52"/>
    </row>
    <row r="1620" spans="2:2" x14ac:dyDescent="0.25">
      <c r="B1620" s="52"/>
    </row>
    <row r="1621" spans="2:2" x14ac:dyDescent="0.25">
      <c r="B1621" s="52"/>
    </row>
    <row r="1622" spans="2:2" x14ac:dyDescent="0.25">
      <c r="B1622" s="52"/>
    </row>
    <row r="1623" spans="2:2" x14ac:dyDescent="0.25">
      <c r="B1623" s="52"/>
    </row>
    <row r="1624" spans="2:2" x14ac:dyDescent="0.25">
      <c r="B1624" s="52"/>
    </row>
    <row r="1625" spans="2:2" x14ac:dyDescent="0.25">
      <c r="B1625" s="52"/>
    </row>
    <row r="1626" spans="2:2" x14ac:dyDescent="0.25">
      <c r="B1626" s="52"/>
    </row>
    <row r="1627" spans="2:2" x14ac:dyDescent="0.25">
      <c r="B1627" s="52"/>
    </row>
    <row r="1628" spans="2:2" x14ac:dyDescent="0.25">
      <c r="B1628" s="52"/>
    </row>
    <row r="1629" spans="2:2" x14ac:dyDescent="0.25">
      <c r="B1629" s="52"/>
    </row>
    <row r="1630" spans="2:2" x14ac:dyDescent="0.25">
      <c r="B1630" s="52"/>
    </row>
    <row r="1631" spans="2:2" x14ac:dyDescent="0.25">
      <c r="B1631" s="52"/>
    </row>
    <row r="1632" spans="2:2" x14ac:dyDescent="0.25">
      <c r="B1632" s="52"/>
    </row>
    <row r="1633" spans="2:2" x14ac:dyDescent="0.25">
      <c r="B1633" s="52"/>
    </row>
    <row r="1634" spans="2:2" x14ac:dyDescent="0.25">
      <c r="B1634" s="52"/>
    </row>
    <row r="1635" spans="2:2" x14ac:dyDescent="0.25">
      <c r="B1635" s="52"/>
    </row>
    <row r="1636" spans="2:2" x14ac:dyDescent="0.25">
      <c r="B1636" s="52"/>
    </row>
    <row r="1637" spans="2:2" x14ac:dyDescent="0.25">
      <c r="B1637" s="52"/>
    </row>
    <row r="1638" spans="2:2" x14ac:dyDescent="0.25">
      <c r="B1638" s="52"/>
    </row>
    <row r="1639" spans="2:2" x14ac:dyDescent="0.25">
      <c r="B1639" s="52"/>
    </row>
    <row r="1640" spans="2:2" x14ac:dyDescent="0.25">
      <c r="B1640" s="52"/>
    </row>
    <row r="1641" spans="2:2" x14ac:dyDescent="0.25">
      <c r="B1641" s="52"/>
    </row>
    <row r="1642" spans="2:2" x14ac:dyDescent="0.25">
      <c r="B1642" s="52"/>
    </row>
    <row r="1643" spans="2:2" x14ac:dyDescent="0.25">
      <c r="B1643" s="52"/>
    </row>
    <row r="1644" spans="2:2" x14ac:dyDescent="0.25">
      <c r="B1644" s="52"/>
    </row>
    <row r="1645" spans="2:2" x14ac:dyDescent="0.25">
      <c r="B1645" s="52"/>
    </row>
    <row r="1646" spans="2:2" x14ac:dyDescent="0.25">
      <c r="B1646" s="52"/>
    </row>
    <row r="1647" spans="2:2" x14ac:dyDescent="0.25">
      <c r="B1647" s="52"/>
    </row>
    <row r="1648" spans="2:2" x14ac:dyDescent="0.25">
      <c r="B1648" s="52"/>
    </row>
    <row r="1649" spans="2:2" x14ac:dyDescent="0.25">
      <c r="B1649" s="52"/>
    </row>
    <row r="1650" spans="2:2" x14ac:dyDescent="0.25">
      <c r="B1650" s="52"/>
    </row>
    <row r="1651" spans="2:2" x14ac:dyDescent="0.25">
      <c r="B1651" s="52"/>
    </row>
    <row r="1652" spans="2:2" x14ac:dyDescent="0.25">
      <c r="B1652" s="52"/>
    </row>
    <row r="1653" spans="2:2" x14ac:dyDescent="0.25">
      <c r="B1653" s="52"/>
    </row>
  </sheetData>
  <mergeCells count="13">
    <mergeCell ref="M1:M2"/>
    <mergeCell ref="C1:D1"/>
    <mergeCell ref="H1:J1"/>
    <mergeCell ref="K77:L77"/>
    <mergeCell ref="K78:L78"/>
    <mergeCell ref="G1:G2"/>
    <mergeCell ref="K1:K2"/>
    <mergeCell ref="L1:L2"/>
    <mergeCell ref="A80:E80"/>
    <mergeCell ref="B1:B2"/>
    <mergeCell ref="A1:A2"/>
    <mergeCell ref="E1:E2"/>
    <mergeCell ref="F1:F2"/>
  </mergeCells>
  <pageMargins left="3.3464566929133901" right="1.37795275590551" top="0.78740157480314998" bottom="0.78740157480314998" header="0.31496062992126" footer="0.31496062992126"/>
  <pageSetup paperSize="66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1"/>
  <sheetViews>
    <sheetView topLeftCell="A58" zoomScale="95" zoomScaleNormal="95" workbookViewId="0">
      <selection activeCell="C227" sqref="C227"/>
    </sheetView>
  </sheetViews>
  <sheetFormatPr defaultRowHeight="15" x14ac:dyDescent="0.25"/>
  <cols>
    <col min="2" max="2" width="57.7109375" customWidth="1"/>
    <col min="3" max="3" width="17.5703125" customWidth="1"/>
    <col min="4" max="4" width="9.5703125" customWidth="1"/>
    <col min="6" max="6" width="15.7109375" customWidth="1"/>
    <col min="7" max="7" width="12.140625" bestFit="1" customWidth="1"/>
    <col min="8" max="8" width="13.85546875" bestFit="1" customWidth="1"/>
    <col min="9" max="9" width="12.28515625" customWidth="1"/>
    <col min="10" max="10" width="13.85546875" customWidth="1"/>
    <col min="11" max="11" width="12.7109375" customWidth="1"/>
    <col min="12" max="12" width="13.85546875" customWidth="1"/>
  </cols>
  <sheetData>
    <row r="1" spans="1:13" ht="36" x14ac:dyDescent="0.25">
      <c r="A1" s="73" t="s">
        <v>13</v>
      </c>
      <c r="B1" s="74" t="s">
        <v>0</v>
      </c>
      <c r="C1" s="74" t="s">
        <v>96</v>
      </c>
      <c r="D1" s="74" t="s">
        <v>165</v>
      </c>
      <c r="E1" s="74" t="s">
        <v>106</v>
      </c>
      <c r="F1" s="74" t="s">
        <v>100</v>
      </c>
      <c r="G1" s="74" t="s">
        <v>97</v>
      </c>
      <c r="H1" s="74" t="s">
        <v>101</v>
      </c>
      <c r="I1" s="74" t="s">
        <v>102</v>
      </c>
      <c r="J1" s="84" t="s">
        <v>103</v>
      </c>
      <c r="K1" s="85" t="s">
        <v>104</v>
      </c>
      <c r="L1" s="85" t="s">
        <v>105</v>
      </c>
    </row>
    <row r="2" spans="1:13" x14ac:dyDescent="0.25">
      <c r="A2" s="76">
        <v>1</v>
      </c>
      <c r="B2" s="56" t="s">
        <v>141</v>
      </c>
      <c r="C2" s="75">
        <v>1</v>
      </c>
      <c r="D2" s="75">
        <v>1</v>
      </c>
      <c r="E2" s="59">
        <v>220</v>
      </c>
      <c r="F2" s="88" t="s">
        <v>144</v>
      </c>
      <c r="G2" s="63">
        <v>1589.93</v>
      </c>
      <c r="H2" s="63">
        <f>'AUXILIAR ADMINISTRATIVO'!H87:J87</f>
        <v>4924.4841411127027</v>
      </c>
      <c r="I2" s="63">
        <f>(H2/E2)+50%</f>
        <v>22.884018823239558</v>
      </c>
      <c r="J2" s="59">
        <v>0</v>
      </c>
      <c r="K2" s="65">
        <f t="shared" ref="K2" si="0">J2*I2</f>
        <v>0</v>
      </c>
      <c r="L2" s="65">
        <f t="shared" ref="L2" si="1">H2+K2</f>
        <v>4924.4841411127027</v>
      </c>
    </row>
    <row r="3" spans="1:13" x14ac:dyDescent="0.25">
      <c r="A3" s="76">
        <v>2</v>
      </c>
      <c r="B3" s="56" t="s">
        <v>138</v>
      </c>
      <c r="C3" s="75">
        <v>1</v>
      </c>
      <c r="D3" s="75">
        <v>1</v>
      </c>
      <c r="E3" s="59">
        <v>180</v>
      </c>
      <c r="F3" s="88" t="s">
        <v>120</v>
      </c>
      <c r="G3" s="63">
        <v>1589.93</v>
      </c>
      <c r="H3" s="63">
        <f>'AUX ADM 12X36 DIURNO'!H86:J86</f>
        <v>4604.1425603950574</v>
      </c>
      <c r="I3" s="63">
        <f>(H3/210)+50%</f>
        <v>22.424488382833609</v>
      </c>
      <c r="J3" s="59">
        <v>0</v>
      </c>
      <c r="K3" s="65">
        <f>J3*I3</f>
        <v>0</v>
      </c>
      <c r="L3" s="65">
        <f>H3+K3</f>
        <v>4604.1425603950574</v>
      </c>
    </row>
    <row r="4" spans="1:13" x14ac:dyDescent="0.25">
      <c r="A4" s="76">
        <v>3</v>
      </c>
      <c r="B4" s="56" t="s">
        <v>143</v>
      </c>
      <c r="C4" s="75">
        <v>1</v>
      </c>
      <c r="D4" s="75">
        <v>1</v>
      </c>
      <c r="E4" s="59">
        <v>220</v>
      </c>
      <c r="F4" s="88" t="s">
        <v>144</v>
      </c>
      <c r="G4" s="63">
        <v>1855.15</v>
      </c>
      <c r="H4" s="63">
        <f>'RECEPCIONISTA 44'!H86:J86</f>
        <v>5437.8884274727006</v>
      </c>
      <c r="I4" s="63">
        <f t="shared" ref="I4" si="2">(H4/E4)+50%</f>
        <v>25.217674670330457</v>
      </c>
      <c r="J4" s="59">
        <v>0</v>
      </c>
      <c r="K4" s="65">
        <f>J4*I4</f>
        <v>0</v>
      </c>
      <c r="L4" s="65">
        <f>H4+K4</f>
        <v>5437.8884274727006</v>
      </c>
    </row>
    <row r="5" spans="1:13" x14ac:dyDescent="0.25">
      <c r="A5" s="76">
        <v>4</v>
      </c>
      <c r="B5" s="56" t="s">
        <v>147</v>
      </c>
      <c r="C5" s="75">
        <v>1</v>
      </c>
      <c r="D5" s="75">
        <v>1</v>
      </c>
      <c r="E5" s="59">
        <v>180</v>
      </c>
      <c r="F5" s="88" t="s">
        <v>120</v>
      </c>
      <c r="G5" s="63">
        <v>1855.15</v>
      </c>
      <c r="H5" s="63">
        <f>'RECEPCIONISTA 12X36'!H86:J86</f>
        <v>5117.5468467550545</v>
      </c>
      <c r="I5" s="63">
        <f>(H5/210)+50%</f>
        <v>24.869270698833592</v>
      </c>
      <c r="J5" s="59">
        <v>0</v>
      </c>
      <c r="K5" s="65">
        <f>J5*I5</f>
        <v>0</v>
      </c>
      <c r="L5" s="65">
        <f>H5+K5</f>
        <v>5117.5468467550545</v>
      </c>
    </row>
    <row r="6" spans="1:13" x14ac:dyDescent="0.25">
      <c r="A6" s="76">
        <v>5</v>
      </c>
      <c r="B6" s="56" t="s">
        <v>146</v>
      </c>
      <c r="C6" s="75">
        <v>1</v>
      </c>
      <c r="D6" s="75">
        <v>1</v>
      </c>
      <c r="E6" s="59">
        <v>180</v>
      </c>
      <c r="F6" s="88" t="s">
        <v>120</v>
      </c>
      <c r="G6" s="63">
        <v>1855.15</v>
      </c>
      <c r="H6" s="63">
        <f>'RECEPCIONISTA 12X36 N'!H86:J86</f>
        <v>5739.1221071907466</v>
      </c>
      <c r="I6" s="63">
        <f>(H6/210)+50%</f>
        <v>27.829152891384506</v>
      </c>
      <c r="J6" s="59">
        <v>0</v>
      </c>
      <c r="K6" s="65">
        <f>J6*I6</f>
        <v>0</v>
      </c>
      <c r="L6" s="65">
        <f>H6+K6</f>
        <v>5739.1221071907466</v>
      </c>
    </row>
    <row r="7" spans="1:13" x14ac:dyDescent="0.25">
      <c r="A7" s="76">
        <v>6</v>
      </c>
      <c r="B7" s="56" t="s">
        <v>152</v>
      </c>
      <c r="C7" s="75">
        <v>1</v>
      </c>
      <c r="D7" s="75">
        <v>1</v>
      </c>
      <c r="E7" s="59">
        <v>220</v>
      </c>
      <c r="F7" s="88" t="s">
        <v>144</v>
      </c>
      <c r="G7" s="61">
        <v>1086.46</v>
      </c>
      <c r="H7" s="61">
        <f>'AUXILIAR DE COZINHA'!H87:J87</f>
        <v>4049.6404721861722</v>
      </c>
      <c r="I7" s="63">
        <f>(H7/E7)+75%</f>
        <v>19.157456691755328</v>
      </c>
      <c r="J7" s="59">
        <v>0</v>
      </c>
      <c r="K7" s="65">
        <f>J7*I7</f>
        <v>0</v>
      </c>
      <c r="L7" s="86">
        <f>H7+K7</f>
        <v>4049.6404721861722</v>
      </c>
    </row>
    <row r="8" spans="1:13" x14ac:dyDescent="0.25">
      <c r="A8" s="76">
        <v>7</v>
      </c>
      <c r="B8" s="56" t="s">
        <v>155</v>
      </c>
      <c r="C8" s="75">
        <v>1</v>
      </c>
      <c r="D8" s="75">
        <v>1</v>
      </c>
      <c r="E8" s="59">
        <v>180</v>
      </c>
      <c r="F8" s="88" t="s">
        <v>120</v>
      </c>
      <c r="G8" s="61">
        <v>1086.46</v>
      </c>
      <c r="H8" s="61">
        <f>'AUXILIAR DE COZINHA 12X36'!H87:J87</f>
        <v>3828.6777282564281</v>
      </c>
      <c r="I8" s="63">
        <f t="shared" ref="I8" si="3">(H8/E8)+75%</f>
        <v>22.020431823646824</v>
      </c>
      <c r="J8" s="59">
        <v>0</v>
      </c>
      <c r="K8" s="65">
        <f t="shared" ref="K8" si="4">J8*I8</f>
        <v>0</v>
      </c>
      <c r="L8" s="86">
        <f t="shared" ref="L8" si="5">H8+K8</f>
        <v>3828.6777282564281</v>
      </c>
    </row>
    <row r="9" spans="1:13" x14ac:dyDescent="0.25">
      <c r="A9" s="76">
        <v>8</v>
      </c>
      <c r="B9" s="62" t="s">
        <v>157</v>
      </c>
      <c r="C9" s="75">
        <v>1</v>
      </c>
      <c r="D9" s="75">
        <v>1</v>
      </c>
      <c r="E9" s="58">
        <v>220</v>
      </c>
      <c r="F9" s="88" t="s">
        <v>144</v>
      </c>
      <c r="G9" s="87">
        <v>1137.23</v>
      </c>
      <c r="H9" s="87">
        <f>'AUXILIAR DE LIMPEZA'!H86:J86</f>
        <v>4009.0882172775896</v>
      </c>
      <c r="I9" s="63">
        <f t="shared" ref="I9" si="6">(H9/210)+50%</f>
        <v>19.590896272750427</v>
      </c>
      <c r="J9" s="59">
        <v>0</v>
      </c>
      <c r="K9" s="65">
        <f t="shared" ref="K9:K40" si="7">J9*I9</f>
        <v>0</v>
      </c>
      <c r="L9" s="86">
        <f t="shared" ref="L9:L40" si="8">H9+K9</f>
        <v>4009.0882172775896</v>
      </c>
      <c r="M9" s="19"/>
    </row>
    <row r="10" spans="1:13" x14ac:dyDescent="0.25">
      <c r="A10" s="76">
        <v>9</v>
      </c>
      <c r="B10" s="62" t="s">
        <v>159</v>
      </c>
      <c r="C10" s="75">
        <v>1</v>
      </c>
      <c r="D10" s="75">
        <v>1</v>
      </c>
      <c r="E10" s="58">
        <v>220</v>
      </c>
      <c r="F10" s="88" t="s">
        <v>144</v>
      </c>
      <c r="G10" s="87">
        <v>1137.23</v>
      </c>
      <c r="H10" s="87">
        <f>'AUXILIAR DE LIMPEZA S INS'!H86:J86</f>
        <v>4428.0770394241863</v>
      </c>
      <c r="I10" s="63">
        <f t="shared" ref="I10:I22" si="9">(H10/210)+50%</f>
        <v>21.586081140115173</v>
      </c>
      <c r="J10" s="59">
        <v>0</v>
      </c>
      <c r="K10" s="65">
        <f t="shared" si="7"/>
        <v>0</v>
      </c>
      <c r="L10" s="86">
        <f t="shared" si="8"/>
        <v>4428.0770394241863</v>
      </c>
      <c r="M10" s="19"/>
    </row>
    <row r="11" spans="1:13" x14ac:dyDescent="0.25">
      <c r="A11" s="76">
        <v>10</v>
      </c>
      <c r="B11" s="62" t="s">
        <v>160</v>
      </c>
      <c r="C11" s="75">
        <v>1</v>
      </c>
      <c r="D11" s="75">
        <v>1</v>
      </c>
      <c r="E11" s="58">
        <v>220</v>
      </c>
      <c r="F11" s="88" t="s">
        <v>144</v>
      </c>
      <c r="G11" s="87">
        <v>1137.23</v>
      </c>
      <c r="H11" s="87">
        <f>'AUXILIAR DE LIMPEZA C IN 40'!H86:J86</f>
        <v>4847.0658615707835</v>
      </c>
      <c r="I11" s="63">
        <f t="shared" si="9"/>
        <v>23.581266007479922</v>
      </c>
      <c r="J11" s="59">
        <v>0</v>
      </c>
      <c r="K11" s="65">
        <f t="shared" si="7"/>
        <v>0</v>
      </c>
      <c r="L11" s="86">
        <f t="shared" si="8"/>
        <v>4847.0658615707835</v>
      </c>
      <c r="M11" s="19"/>
    </row>
    <row r="12" spans="1:13" x14ac:dyDescent="0.25">
      <c r="A12" s="76">
        <v>11</v>
      </c>
      <c r="B12" s="62" t="s">
        <v>163</v>
      </c>
      <c r="C12" s="75">
        <v>1</v>
      </c>
      <c r="D12" s="75">
        <v>1</v>
      </c>
      <c r="E12" s="58">
        <v>180</v>
      </c>
      <c r="F12" s="88" t="s">
        <v>120</v>
      </c>
      <c r="G12" s="87">
        <v>1137.23</v>
      </c>
      <c r="H12" s="87">
        <f>'AUX LIM 12X36 S INS'!H86:J86</f>
        <v>3688.746941731993</v>
      </c>
      <c r="I12" s="63">
        <f t="shared" si="9"/>
        <v>18.065461627295203</v>
      </c>
      <c r="J12" s="59">
        <v>0</v>
      </c>
      <c r="K12" s="65">
        <f t="shared" si="7"/>
        <v>0</v>
      </c>
      <c r="L12" s="86">
        <f t="shared" si="8"/>
        <v>3688.746941731993</v>
      </c>
      <c r="M12" s="19"/>
    </row>
    <row r="13" spans="1:13" x14ac:dyDescent="0.25">
      <c r="A13" s="76">
        <v>12</v>
      </c>
      <c r="B13" s="62" t="s">
        <v>164</v>
      </c>
      <c r="C13" s="75">
        <v>1</v>
      </c>
      <c r="D13" s="75">
        <v>1</v>
      </c>
      <c r="E13" s="58">
        <v>180</v>
      </c>
      <c r="F13" s="88" t="s">
        <v>120</v>
      </c>
      <c r="G13" s="87">
        <v>1137.23</v>
      </c>
      <c r="H13" s="87">
        <f>'AUX LIM 12X36 C INS 20%'!H86:J86</f>
        <v>4107.7357638785907</v>
      </c>
      <c r="I13" s="63">
        <f t="shared" si="9"/>
        <v>20.060646494659956</v>
      </c>
      <c r="J13" s="59">
        <v>0</v>
      </c>
      <c r="K13" s="65">
        <f t="shared" si="7"/>
        <v>0</v>
      </c>
      <c r="L13" s="86">
        <f t="shared" si="8"/>
        <v>4107.7357638785907</v>
      </c>
      <c r="M13" s="19"/>
    </row>
    <row r="14" spans="1:13" x14ac:dyDescent="0.25">
      <c r="A14" s="76">
        <v>13</v>
      </c>
      <c r="B14" s="62" t="s">
        <v>166</v>
      </c>
      <c r="C14" s="75">
        <v>1</v>
      </c>
      <c r="D14" s="75">
        <v>1</v>
      </c>
      <c r="E14" s="58">
        <v>180</v>
      </c>
      <c r="F14" s="88" t="s">
        <v>120</v>
      </c>
      <c r="G14" s="87">
        <v>1137.23</v>
      </c>
      <c r="H14" s="87">
        <f>'AUX LIM 12X36 C INS 40%'!H86:J86</f>
        <v>4526.724586025186</v>
      </c>
      <c r="I14" s="63">
        <f t="shared" si="9"/>
        <v>22.055831362024694</v>
      </c>
      <c r="J14" s="59">
        <v>0</v>
      </c>
      <c r="K14" s="65">
        <f t="shared" si="7"/>
        <v>0</v>
      </c>
      <c r="L14" s="86">
        <f t="shared" si="8"/>
        <v>4526.724586025186</v>
      </c>
      <c r="M14" s="19"/>
    </row>
    <row r="15" spans="1:13" x14ac:dyDescent="0.25">
      <c r="A15" s="76">
        <v>14</v>
      </c>
      <c r="B15" s="62" t="s">
        <v>167</v>
      </c>
      <c r="C15" s="75">
        <v>1</v>
      </c>
      <c r="D15" s="75">
        <v>1</v>
      </c>
      <c r="E15" s="58">
        <v>180</v>
      </c>
      <c r="F15" s="88" t="s">
        <v>120</v>
      </c>
      <c r="G15" s="87">
        <v>1137.23</v>
      </c>
      <c r="H15" s="87">
        <f>'AUX LIM 12X36 N SEM INS'!H86:J86</f>
        <v>4069.7799363818767</v>
      </c>
      <c r="I15" s="63">
        <f t="shared" si="9"/>
        <v>19.879904458961317</v>
      </c>
      <c r="J15" s="59">
        <v>0</v>
      </c>
      <c r="K15" s="65">
        <f t="shared" si="7"/>
        <v>0</v>
      </c>
      <c r="L15" s="86">
        <f t="shared" si="8"/>
        <v>4069.7799363818767</v>
      </c>
      <c r="M15" s="19"/>
    </row>
    <row r="16" spans="1:13" x14ac:dyDescent="0.25">
      <c r="A16" s="76">
        <v>15</v>
      </c>
      <c r="B16" s="62" t="s">
        <v>168</v>
      </c>
      <c r="C16" s="75">
        <v>1</v>
      </c>
      <c r="D16" s="75">
        <v>1</v>
      </c>
      <c r="E16" s="58">
        <v>180</v>
      </c>
      <c r="F16" s="88" t="s">
        <v>120</v>
      </c>
      <c r="G16" s="87">
        <v>1137.23</v>
      </c>
      <c r="H16" s="87">
        <f>'AUX LIM 12X36 N COM 20%'!H86:J86</f>
        <v>4558.7949589292948</v>
      </c>
      <c r="I16" s="63">
        <f t="shared" si="9"/>
        <v>22.208547423472833</v>
      </c>
      <c r="J16" s="59">
        <v>0</v>
      </c>
      <c r="K16" s="65">
        <f t="shared" si="7"/>
        <v>0</v>
      </c>
      <c r="L16" s="86">
        <f t="shared" si="8"/>
        <v>4558.7949589292948</v>
      </c>
      <c r="M16" s="19"/>
    </row>
    <row r="17" spans="1:13" x14ac:dyDescent="0.25">
      <c r="A17" s="76">
        <v>16</v>
      </c>
      <c r="B17" s="62" t="s">
        <v>169</v>
      </c>
      <c r="C17" s="75">
        <v>1</v>
      </c>
      <c r="D17" s="75">
        <v>1</v>
      </c>
      <c r="E17" s="58">
        <v>180</v>
      </c>
      <c r="F17" s="88" t="s">
        <v>120</v>
      </c>
      <c r="G17" s="87">
        <v>1137.23</v>
      </c>
      <c r="H17" s="87">
        <f>'AUX LIM 12X36 N COM 40%'!H86:J86</f>
        <v>5047.8099814767111</v>
      </c>
      <c r="I17" s="63">
        <f t="shared" si="9"/>
        <v>24.537190387984339</v>
      </c>
      <c r="J17" s="59">
        <v>0</v>
      </c>
      <c r="K17" s="65">
        <f t="shared" si="7"/>
        <v>0</v>
      </c>
      <c r="L17" s="86">
        <f t="shared" si="8"/>
        <v>5047.8099814767111</v>
      </c>
      <c r="M17" s="19"/>
    </row>
    <row r="18" spans="1:13" x14ac:dyDescent="0.25">
      <c r="A18" s="76">
        <v>17</v>
      </c>
      <c r="B18" s="62" t="s">
        <v>170</v>
      </c>
      <c r="C18" s="75">
        <v>1</v>
      </c>
      <c r="D18" s="75">
        <v>1</v>
      </c>
      <c r="E18" s="58">
        <v>220</v>
      </c>
      <c r="F18" s="88" t="s">
        <v>172</v>
      </c>
      <c r="G18" s="87">
        <v>1079.94</v>
      </c>
      <c r="H18" s="87">
        <f>'GARI-VARREDEIRA-CARRINHEIRO'!H86</f>
        <v>4813.9415298790846</v>
      </c>
      <c r="I18" s="63">
        <f t="shared" si="9"/>
        <v>23.423531094662309</v>
      </c>
      <c r="J18" s="59">
        <v>0</v>
      </c>
      <c r="K18" s="65">
        <f t="shared" si="7"/>
        <v>0</v>
      </c>
      <c r="L18" s="86">
        <f t="shared" si="8"/>
        <v>4813.9415298790846</v>
      </c>
      <c r="M18" s="19"/>
    </row>
    <row r="19" spans="1:13" x14ac:dyDescent="0.25">
      <c r="A19" s="76">
        <v>18</v>
      </c>
      <c r="B19" s="62" t="s">
        <v>177</v>
      </c>
      <c r="C19" s="75">
        <v>1</v>
      </c>
      <c r="D19" s="75">
        <v>1</v>
      </c>
      <c r="E19" s="58">
        <v>220</v>
      </c>
      <c r="F19" s="88" t="s">
        <v>172</v>
      </c>
      <c r="G19" s="87">
        <v>1245.81</v>
      </c>
      <c r="H19" s="87">
        <f>'COLETOR DE LIXO'!H86:J86</f>
        <v>5024.1507546134781</v>
      </c>
      <c r="I19" s="63">
        <f t="shared" si="9"/>
        <v>24.424527402921324</v>
      </c>
      <c r="J19" s="59">
        <v>0</v>
      </c>
      <c r="K19" s="65">
        <f t="shared" si="7"/>
        <v>0</v>
      </c>
      <c r="L19" s="86">
        <f t="shared" si="8"/>
        <v>5024.1507546134781</v>
      </c>
      <c r="M19" s="19"/>
    </row>
    <row r="20" spans="1:13" x14ac:dyDescent="0.25">
      <c r="A20" s="76">
        <v>19</v>
      </c>
      <c r="B20" s="62" t="s">
        <v>179</v>
      </c>
      <c r="C20" s="75">
        <v>1</v>
      </c>
      <c r="D20" s="75">
        <v>1</v>
      </c>
      <c r="E20" s="58">
        <v>220</v>
      </c>
      <c r="F20" s="88" t="s">
        <v>172</v>
      </c>
      <c r="G20" s="87">
        <v>1293.21</v>
      </c>
      <c r="H20" s="87">
        <f>'AGENTE DE FISCALIZAÇÃO DE RUA'!H86:J86</f>
        <v>4277.9387877232175</v>
      </c>
      <c r="I20" s="63">
        <f t="shared" si="9"/>
        <v>20.871137084396274</v>
      </c>
      <c r="J20" s="59">
        <v>0</v>
      </c>
      <c r="K20" s="65">
        <f t="shared" si="7"/>
        <v>0</v>
      </c>
      <c r="L20" s="86">
        <f t="shared" si="8"/>
        <v>4277.9387877232175</v>
      </c>
      <c r="M20" s="19"/>
    </row>
    <row r="21" spans="1:13" x14ac:dyDescent="0.25">
      <c r="A21" s="76">
        <v>20</v>
      </c>
      <c r="B21" s="62" t="s">
        <v>182</v>
      </c>
      <c r="C21" s="75">
        <v>1</v>
      </c>
      <c r="D21" s="75">
        <v>1</v>
      </c>
      <c r="E21" s="58">
        <v>220</v>
      </c>
      <c r="F21" s="88" t="s">
        <v>144</v>
      </c>
      <c r="G21" s="87">
        <v>1504.26</v>
      </c>
      <c r="H21" s="87">
        <f>JARDINEIRO!H86</f>
        <v>4719.6527020285985</v>
      </c>
      <c r="I21" s="63">
        <f t="shared" si="9"/>
        <v>22.974536676326661</v>
      </c>
      <c r="J21" s="59">
        <v>0</v>
      </c>
      <c r="K21" s="65">
        <f t="shared" si="7"/>
        <v>0</v>
      </c>
      <c r="L21" s="86">
        <f t="shared" si="8"/>
        <v>4719.6527020285985</v>
      </c>
      <c r="M21" s="19"/>
    </row>
    <row r="22" spans="1:13" x14ac:dyDescent="0.25">
      <c r="A22" s="76">
        <v>21</v>
      </c>
      <c r="B22" s="62" t="s">
        <v>187</v>
      </c>
      <c r="C22" s="75">
        <v>1</v>
      </c>
      <c r="D22" s="75">
        <v>1</v>
      </c>
      <c r="E22" s="58">
        <v>220</v>
      </c>
      <c r="F22" s="88" t="s">
        <v>144</v>
      </c>
      <c r="G22" s="87">
        <v>1137.23</v>
      </c>
      <c r="H22" s="87">
        <f>CONTINUO!H86</f>
        <v>3978.0289233117987</v>
      </c>
      <c r="I22" s="63">
        <f t="shared" si="9"/>
        <v>19.442994872913328</v>
      </c>
      <c r="J22" s="59">
        <v>0</v>
      </c>
      <c r="K22" s="65">
        <f t="shared" si="7"/>
        <v>0</v>
      </c>
      <c r="L22" s="86">
        <f t="shared" si="8"/>
        <v>3978.0289233117987</v>
      </c>
      <c r="M22" s="19"/>
    </row>
    <row r="23" spans="1:13" x14ac:dyDescent="0.25">
      <c r="A23" s="76">
        <v>22</v>
      </c>
      <c r="B23" s="62" t="s">
        <v>208</v>
      </c>
      <c r="C23" s="75">
        <v>1</v>
      </c>
      <c r="D23" s="75">
        <v>1</v>
      </c>
      <c r="E23" s="58">
        <v>96</v>
      </c>
      <c r="F23" s="88" t="s">
        <v>207</v>
      </c>
      <c r="G23" s="87">
        <v>1691</v>
      </c>
      <c r="H23" s="87">
        <f>'TECNICO RX'!H86:J86</f>
        <v>5634.5079175173214</v>
      </c>
      <c r="I23" s="63">
        <f>(H23/210)+80%</f>
        <v>27.630990083415817</v>
      </c>
      <c r="J23" s="59">
        <v>0</v>
      </c>
      <c r="K23" s="65">
        <f t="shared" si="7"/>
        <v>0</v>
      </c>
      <c r="L23" s="86">
        <f t="shared" si="8"/>
        <v>5634.5079175173214</v>
      </c>
      <c r="M23" s="19"/>
    </row>
    <row r="24" spans="1:13" x14ac:dyDescent="0.25">
      <c r="A24" s="76">
        <v>23</v>
      </c>
      <c r="B24" s="62" t="s">
        <v>209</v>
      </c>
      <c r="C24" s="75">
        <v>1</v>
      </c>
      <c r="D24" s="75">
        <v>1</v>
      </c>
      <c r="E24" s="58">
        <v>96</v>
      </c>
      <c r="F24" s="88" t="s">
        <v>207</v>
      </c>
      <c r="G24" s="87">
        <v>1691</v>
      </c>
      <c r="H24" s="87">
        <f>'TECNICO RX NOITE'!H86:J86</f>
        <v>6474.3460472912147</v>
      </c>
      <c r="I24" s="63">
        <f>(H24/210)+80%</f>
        <v>31.63021927281531</v>
      </c>
      <c r="J24" s="59">
        <v>0</v>
      </c>
      <c r="K24" s="65">
        <f t="shared" si="7"/>
        <v>0</v>
      </c>
      <c r="L24" s="86">
        <f t="shared" si="8"/>
        <v>6474.3460472912147</v>
      </c>
      <c r="M24" s="19"/>
    </row>
    <row r="25" spans="1:13" x14ac:dyDescent="0.25">
      <c r="A25" s="76">
        <v>24</v>
      </c>
      <c r="B25" s="62" t="s">
        <v>193</v>
      </c>
      <c r="C25" s="75">
        <v>1</v>
      </c>
      <c r="D25" s="75">
        <v>1</v>
      </c>
      <c r="E25" s="58">
        <v>180</v>
      </c>
      <c r="F25" s="88" t="s">
        <v>192</v>
      </c>
      <c r="G25" s="87">
        <v>1832.78</v>
      </c>
      <c r="H25" s="87">
        <f>'TELEFONISTA '!H86:J86</f>
        <v>4665.1315658092617</v>
      </c>
      <c r="I25" s="63">
        <f t="shared" ref="I25" si="10">(H25/210)+50%</f>
        <v>22.714912218139343</v>
      </c>
      <c r="J25" s="59">
        <v>0</v>
      </c>
      <c r="K25" s="65">
        <f t="shared" si="7"/>
        <v>0</v>
      </c>
      <c r="L25" s="86">
        <f t="shared" si="8"/>
        <v>4665.1315658092617</v>
      </c>
      <c r="M25" s="19"/>
    </row>
    <row r="26" spans="1:13" x14ac:dyDescent="0.25">
      <c r="A26" s="76">
        <v>25</v>
      </c>
      <c r="B26" s="64" t="s">
        <v>291</v>
      </c>
      <c r="C26" s="75">
        <v>1</v>
      </c>
      <c r="D26" s="75">
        <v>1</v>
      </c>
      <c r="E26" s="59">
        <v>220</v>
      </c>
      <c r="F26" s="88" t="s">
        <v>144</v>
      </c>
      <c r="G26" s="63">
        <f>1054</f>
        <v>1054</v>
      </c>
      <c r="H26" s="63">
        <f>'MONITOR DE TRANSPORTES'!H86:J86</f>
        <v>3662.3252005634886</v>
      </c>
      <c r="I26" s="63">
        <f>(H26/E26)+75%</f>
        <v>17.396932729834038</v>
      </c>
      <c r="J26" s="59">
        <v>0</v>
      </c>
      <c r="K26" s="65">
        <f t="shared" si="7"/>
        <v>0</v>
      </c>
      <c r="L26" s="86">
        <f t="shared" si="8"/>
        <v>3662.3252005634886</v>
      </c>
    </row>
    <row r="27" spans="1:13" x14ac:dyDescent="0.25">
      <c r="A27" s="76">
        <v>26</v>
      </c>
      <c r="B27" s="62" t="s">
        <v>124</v>
      </c>
      <c r="C27" s="75">
        <v>1</v>
      </c>
      <c r="D27" s="75">
        <v>1</v>
      </c>
      <c r="E27" s="59">
        <v>220</v>
      </c>
      <c r="F27" s="89" t="s">
        <v>144</v>
      </c>
      <c r="G27" s="83">
        <v>1865.86</v>
      </c>
      <c r="H27" s="83">
        <f>'MOTORISTA DE CAMINHÃO'!H86:J86</f>
        <v>5288.9061393787406</v>
      </c>
      <c r="I27" s="63">
        <f>(H27/E27)+60%</f>
        <v>24.640482451721549</v>
      </c>
      <c r="J27" s="59">
        <v>0</v>
      </c>
      <c r="K27" s="65">
        <f t="shared" si="7"/>
        <v>0</v>
      </c>
      <c r="L27" s="86">
        <f t="shared" si="8"/>
        <v>5288.9061393787406</v>
      </c>
      <c r="M27" t="s">
        <v>118</v>
      </c>
    </row>
    <row r="28" spans="1:13" x14ac:dyDescent="0.25">
      <c r="A28" s="76">
        <v>27</v>
      </c>
      <c r="B28" s="62" t="s">
        <v>200</v>
      </c>
      <c r="C28" s="75">
        <v>1</v>
      </c>
      <c r="D28" s="75">
        <v>1</v>
      </c>
      <c r="E28" s="59">
        <v>220</v>
      </c>
      <c r="F28" s="89" t="s">
        <v>144</v>
      </c>
      <c r="G28" s="83">
        <v>2719.91</v>
      </c>
      <c r="H28" s="83">
        <f>'MOTORISTA DE ÔNIBUS'!H86:J86</f>
        <v>7426.7387289798635</v>
      </c>
      <c r="I28" s="63">
        <f t="shared" ref="I28" si="11">(H28/E28)+60%</f>
        <v>34.357903313544838</v>
      </c>
      <c r="J28" s="59">
        <v>0</v>
      </c>
      <c r="K28" s="65">
        <f t="shared" si="7"/>
        <v>0</v>
      </c>
      <c r="L28" s="86">
        <f t="shared" si="8"/>
        <v>7426.7387289798635</v>
      </c>
    </row>
    <row r="29" spans="1:13" x14ac:dyDescent="0.25">
      <c r="A29" s="76">
        <v>28</v>
      </c>
      <c r="B29" s="62" t="s">
        <v>203</v>
      </c>
      <c r="C29" s="75">
        <v>1</v>
      </c>
      <c r="D29" s="75">
        <v>1</v>
      </c>
      <c r="E29" s="59">
        <v>220</v>
      </c>
      <c r="F29" s="89" t="s">
        <v>144</v>
      </c>
      <c r="G29" s="83">
        <v>1832.02</v>
      </c>
      <c r="H29" s="83">
        <f>'MOTORISTA DE CARRO'!H86:J86</f>
        <v>5190.7889325271808</v>
      </c>
      <c r="I29" s="63">
        <f>(H29/E29)+60%</f>
        <v>24.194495147850823</v>
      </c>
      <c r="J29" s="59">
        <v>0</v>
      </c>
      <c r="K29" s="65">
        <f t="shared" si="7"/>
        <v>0</v>
      </c>
      <c r="L29" s="86">
        <f t="shared" si="8"/>
        <v>5190.7889325271808</v>
      </c>
    </row>
    <row r="30" spans="1:13" x14ac:dyDescent="0.25">
      <c r="A30" s="76">
        <v>29</v>
      </c>
      <c r="B30" s="62" t="s">
        <v>204</v>
      </c>
      <c r="C30" s="75">
        <v>1</v>
      </c>
      <c r="D30" s="75">
        <v>1</v>
      </c>
      <c r="E30" s="59">
        <v>180</v>
      </c>
      <c r="F30" s="89" t="s">
        <v>120</v>
      </c>
      <c r="G30" s="83">
        <v>2719.91</v>
      </c>
      <c r="H30" s="83">
        <f>'MOTORISTA DE AMBULANCIA'!H86:J86</f>
        <v>8127.6991004514039</v>
      </c>
      <c r="I30" s="63">
        <f>(H30/E30)+60%</f>
        <v>45.75388389139669</v>
      </c>
      <c r="J30" s="59">
        <v>0</v>
      </c>
      <c r="K30" s="65">
        <f t="shared" si="7"/>
        <v>0</v>
      </c>
      <c r="L30" s="86">
        <f t="shared" si="8"/>
        <v>8127.6991004514039</v>
      </c>
    </row>
    <row r="31" spans="1:13" x14ac:dyDescent="0.25">
      <c r="A31" s="76">
        <v>30</v>
      </c>
      <c r="B31" s="62" t="s">
        <v>206</v>
      </c>
      <c r="C31" s="75">
        <v>1</v>
      </c>
      <c r="D31" s="75">
        <v>1</v>
      </c>
      <c r="E31" s="59">
        <v>180</v>
      </c>
      <c r="F31" s="89" t="s">
        <v>120</v>
      </c>
      <c r="G31" s="83">
        <v>2719.91</v>
      </c>
      <c r="H31" s="83">
        <f>'MOTORISTA DE AMBULANCIA NOITE'!H86:J86</f>
        <v>9179.0673120562733</v>
      </c>
      <c r="I31" s="63">
        <f>(H31/E31)+60%</f>
        <v>51.594818400312633</v>
      </c>
      <c r="J31" s="59">
        <v>0</v>
      </c>
      <c r="K31" s="65">
        <f t="shared" si="7"/>
        <v>0</v>
      </c>
      <c r="L31" s="86">
        <f t="shared" si="8"/>
        <v>9179.0673120562733</v>
      </c>
    </row>
    <row r="32" spans="1:13" x14ac:dyDescent="0.25">
      <c r="A32" s="76">
        <v>31</v>
      </c>
      <c r="B32" s="56" t="s">
        <v>184</v>
      </c>
      <c r="C32" s="75">
        <v>1</v>
      </c>
      <c r="D32" s="75">
        <v>1</v>
      </c>
      <c r="E32" s="59">
        <v>220</v>
      </c>
      <c r="F32" s="88" t="s">
        <v>144</v>
      </c>
      <c r="G32" s="61">
        <v>1398.79</v>
      </c>
      <c r="H32" s="61">
        <f>PORTEIRO!H86</f>
        <v>4495.111301569671</v>
      </c>
      <c r="I32" s="63">
        <f>(H32/E32)+50%</f>
        <v>20.93232409804396</v>
      </c>
      <c r="J32" s="59">
        <v>0</v>
      </c>
      <c r="K32" s="65">
        <f t="shared" si="7"/>
        <v>0</v>
      </c>
      <c r="L32" s="86">
        <f t="shared" si="8"/>
        <v>4495.111301569671</v>
      </c>
    </row>
    <row r="33" spans="1:12" x14ac:dyDescent="0.25">
      <c r="A33" s="76">
        <v>32</v>
      </c>
      <c r="B33" s="56" t="s">
        <v>185</v>
      </c>
      <c r="C33" s="75">
        <v>1</v>
      </c>
      <c r="D33" s="75">
        <v>1</v>
      </c>
      <c r="E33" s="59">
        <v>180</v>
      </c>
      <c r="F33" s="88" t="s">
        <v>120</v>
      </c>
      <c r="G33" s="61">
        <v>1398.79</v>
      </c>
      <c r="H33" s="61">
        <f>'PORTEIRO 12x36'!H86:J86</f>
        <v>4167.9971173439153</v>
      </c>
      <c r="I33" s="63">
        <f>(H33/E33)+50%</f>
        <v>23.655539540799531</v>
      </c>
      <c r="J33" s="59">
        <v>0</v>
      </c>
      <c r="K33" s="65">
        <f t="shared" si="7"/>
        <v>0</v>
      </c>
      <c r="L33" s="86">
        <f t="shared" si="8"/>
        <v>4167.9971173439153</v>
      </c>
    </row>
    <row r="34" spans="1:12" x14ac:dyDescent="0.25">
      <c r="A34" s="76">
        <v>33</v>
      </c>
      <c r="B34" s="56" t="s">
        <v>186</v>
      </c>
      <c r="C34" s="75">
        <v>1</v>
      </c>
      <c r="D34" s="75">
        <v>1</v>
      </c>
      <c r="E34" s="59">
        <v>180</v>
      </c>
      <c r="F34" s="88" t="s">
        <v>120</v>
      </c>
      <c r="G34" s="61">
        <v>1398.79</v>
      </c>
      <c r="H34" s="61">
        <f>'PORTEIRO NOTURNO12X36'!H86:J86</f>
        <v>4890.6036049445574</v>
      </c>
      <c r="I34" s="63">
        <f>(H34/E34)+50%</f>
        <v>27.670020027469764</v>
      </c>
      <c r="J34" s="59">
        <v>0</v>
      </c>
      <c r="K34" s="65">
        <f t="shared" si="7"/>
        <v>0</v>
      </c>
      <c r="L34" s="86">
        <f t="shared" si="8"/>
        <v>4890.6036049445574</v>
      </c>
    </row>
    <row r="35" spans="1:12" x14ac:dyDescent="0.25">
      <c r="A35" s="76">
        <v>34</v>
      </c>
      <c r="B35" s="56" t="s">
        <v>210</v>
      </c>
      <c r="C35" s="75">
        <v>1</v>
      </c>
      <c r="D35" s="75">
        <v>1</v>
      </c>
      <c r="E35" s="59">
        <v>200</v>
      </c>
      <c r="F35" s="88" t="s">
        <v>144</v>
      </c>
      <c r="G35" s="61">
        <v>4314.76</v>
      </c>
      <c r="H35" s="61">
        <f>FARMACEUTICO!H86</f>
        <v>9452.9595057152401</v>
      </c>
      <c r="I35" s="63">
        <f>(H35/E35)+50%</f>
        <v>47.764797528576203</v>
      </c>
      <c r="J35" s="59">
        <v>0</v>
      </c>
      <c r="K35" s="65">
        <f t="shared" si="7"/>
        <v>0</v>
      </c>
      <c r="L35" s="86">
        <f t="shared" si="8"/>
        <v>9452.9595057152401</v>
      </c>
    </row>
    <row r="36" spans="1:12" x14ac:dyDescent="0.25">
      <c r="A36" s="77">
        <v>35</v>
      </c>
      <c r="B36" s="56" t="s">
        <v>215</v>
      </c>
      <c r="C36" s="75">
        <v>1</v>
      </c>
      <c r="D36" s="75">
        <v>1</v>
      </c>
      <c r="E36" s="59">
        <v>220</v>
      </c>
      <c r="F36" s="88" t="s">
        <v>144</v>
      </c>
      <c r="G36" s="61">
        <v>1252.6400000000001</v>
      </c>
      <c r="H36" s="61">
        <f>'TECNICO LABORATORIO'!H86:J86</f>
        <v>3800.1020212967842</v>
      </c>
      <c r="I36" s="63">
        <f>(H36/E36)+75%</f>
        <v>18.023191005894475</v>
      </c>
      <c r="J36" s="59">
        <v>0</v>
      </c>
      <c r="K36" s="65">
        <f t="shared" si="7"/>
        <v>0</v>
      </c>
      <c r="L36" s="86">
        <f t="shared" si="8"/>
        <v>3800.1020212967842</v>
      </c>
    </row>
    <row r="37" spans="1:12" x14ac:dyDescent="0.25">
      <c r="A37" s="77">
        <v>36</v>
      </c>
      <c r="B37" s="56" t="s">
        <v>218</v>
      </c>
      <c r="C37" s="75">
        <v>1</v>
      </c>
      <c r="D37" s="75">
        <v>1</v>
      </c>
      <c r="E37" s="59">
        <v>180</v>
      </c>
      <c r="F37" s="88" t="s">
        <v>120</v>
      </c>
      <c r="G37" s="61">
        <v>1252.6400000000001</v>
      </c>
      <c r="H37" s="61">
        <f>'TECNICO LAB 12X36'!H86:J86</f>
        <v>3715.2000711007804</v>
      </c>
      <c r="I37" s="63">
        <f>(H37/E37)+75%</f>
        <v>21.390000395004336</v>
      </c>
      <c r="J37" s="59">
        <v>0</v>
      </c>
      <c r="K37" s="65">
        <f t="shared" si="7"/>
        <v>0</v>
      </c>
      <c r="L37" s="86">
        <f t="shared" si="8"/>
        <v>3715.2000711007804</v>
      </c>
    </row>
    <row r="38" spans="1:12" x14ac:dyDescent="0.25">
      <c r="A38" s="77">
        <v>37</v>
      </c>
      <c r="B38" s="56" t="s">
        <v>219</v>
      </c>
      <c r="C38" s="75">
        <v>1</v>
      </c>
      <c r="D38" s="75">
        <v>1</v>
      </c>
      <c r="E38" s="59">
        <v>180</v>
      </c>
      <c r="F38" s="88" t="s">
        <v>120</v>
      </c>
      <c r="G38" s="61">
        <v>1252.6400000000001</v>
      </c>
      <c r="H38" s="61">
        <f>'TECNICO LAB 12X36 N'!H87:J87</f>
        <v>4419.2053594796871</v>
      </c>
      <c r="I38" s="63">
        <f>(H38/E38)+75%</f>
        <v>25.301140885998262</v>
      </c>
      <c r="J38" s="59">
        <v>0</v>
      </c>
      <c r="K38" s="65">
        <f t="shared" si="7"/>
        <v>0</v>
      </c>
      <c r="L38" s="86">
        <f t="shared" si="8"/>
        <v>4419.2053594796871</v>
      </c>
    </row>
    <row r="39" spans="1:12" x14ac:dyDescent="0.25">
      <c r="A39" s="77">
        <v>38</v>
      </c>
      <c r="B39" s="66" t="s">
        <v>220</v>
      </c>
      <c r="C39" s="75">
        <v>1</v>
      </c>
      <c r="D39" s="75">
        <v>1</v>
      </c>
      <c r="E39" s="59">
        <v>180</v>
      </c>
      <c r="F39" s="88" t="s">
        <v>120</v>
      </c>
      <c r="G39" s="61">
        <v>2079.8000000000002</v>
      </c>
      <c r="H39" s="61">
        <f>'ENFERMEIRO DIURNO'!H86:J86</f>
        <v>6023.0546237961762</v>
      </c>
      <c r="I39" s="63">
        <f>(H39/E39)+100%</f>
        <v>34.461414576645424</v>
      </c>
      <c r="J39" s="59">
        <v>0</v>
      </c>
      <c r="K39" s="65">
        <f t="shared" si="7"/>
        <v>0</v>
      </c>
      <c r="L39" s="86">
        <f t="shared" si="8"/>
        <v>6023.0546237961762</v>
      </c>
    </row>
    <row r="40" spans="1:12" x14ac:dyDescent="0.25">
      <c r="A40" s="77">
        <v>39</v>
      </c>
      <c r="B40" s="66" t="s">
        <v>223</v>
      </c>
      <c r="C40" s="75">
        <v>1</v>
      </c>
      <c r="D40" s="75">
        <v>1</v>
      </c>
      <c r="E40" s="59">
        <v>180</v>
      </c>
      <c r="F40" s="88" t="s">
        <v>120</v>
      </c>
      <c r="G40" s="61">
        <v>2079.8000000000002</v>
      </c>
      <c r="H40" s="61">
        <f>'ENFERMEIRO NOITE'!H86:J86</f>
        <v>7114.6908823473605</v>
      </c>
      <c r="I40" s="63">
        <f>(H40/E40)+100%</f>
        <v>40.526060457485336</v>
      </c>
      <c r="J40" s="59">
        <v>0</v>
      </c>
      <c r="K40" s="65">
        <f t="shared" si="7"/>
        <v>0</v>
      </c>
      <c r="L40" s="86">
        <f t="shared" si="8"/>
        <v>7114.6908823473605</v>
      </c>
    </row>
    <row r="41" spans="1:12" x14ac:dyDescent="0.25">
      <c r="A41" s="77">
        <v>40</v>
      </c>
      <c r="B41" s="56" t="s">
        <v>224</v>
      </c>
      <c r="C41" s="75">
        <v>1</v>
      </c>
      <c r="D41" s="75">
        <v>1</v>
      </c>
      <c r="E41" s="59">
        <v>150</v>
      </c>
      <c r="F41" s="88" t="s">
        <v>192</v>
      </c>
      <c r="G41" s="61">
        <v>1399.69</v>
      </c>
      <c r="H41" s="61">
        <f>FISIOTERAPEUTA!H86</f>
        <v>4341.003795627752</v>
      </c>
      <c r="I41" s="63">
        <f>(H41/E41)+75%</f>
        <v>29.690025304185014</v>
      </c>
      <c r="J41" s="59">
        <v>0</v>
      </c>
      <c r="K41" s="65">
        <f t="shared" ref="K41:K72" si="12">J41*I41</f>
        <v>0</v>
      </c>
      <c r="L41" s="86">
        <f t="shared" ref="L41:L72" si="13">H41+K41</f>
        <v>4341.003795627752</v>
      </c>
    </row>
    <row r="42" spans="1:12" x14ac:dyDescent="0.25">
      <c r="A42" s="77">
        <v>41</v>
      </c>
      <c r="B42" s="56" t="s">
        <v>228</v>
      </c>
      <c r="C42" s="75">
        <v>1</v>
      </c>
      <c r="D42" s="75">
        <v>1</v>
      </c>
      <c r="E42" s="59">
        <v>180</v>
      </c>
      <c r="F42" s="88" t="s">
        <v>120</v>
      </c>
      <c r="G42" s="61">
        <v>1222</v>
      </c>
      <c r="H42" s="61">
        <f>'TEC ENFERM 12X36'!H86:J86</f>
        <v>4568.6048307700548</v>
      </c>
      <c r="I42" s="63">
        <f>(H42/E42)+75%</f>
        <v>26.131137948722525</v>
      </c>
      <c r="J42" s="59">
        <v>0</v>
      </c>
      <c r="K42" s="65">
        <f t="shared" si="12"/>
        <v>0</v>
      </c>
      <c r="L42" s="86">
        <f t="shared" si="13"/>
        <v>4568.6048307700548</v>
      </c>
    </row>
    <row r="43" spans="1:12" x14ac:dyDescent="0.25">
      <c r="A43" s="77">
        <v>42</v>
      </c>
      <c r="B43" s="56" t="s">
        <v>231</v>
      </c>
      <c r="C43" s="75">
        <v>1</v>
      </c>
      <c r="D43" s="75">
        <v>1</v>
      </c>
      <c r="E43" s="59">
        <v>180</v>
      </c>
      <c r="F43" s="88" t="s">
        <v>120</v>
      </c>
      <c r="G43" s="61">
        <v>1222</v>
      </c>
      <c r="H43" s="61">
        <f>'TEC ENFERM 12X36 N'!H86:J86</f>
        <v>5154.8425797198997</v>
      </c>
      <c r="I43" s="63">
        <f>(H43/E43)+75%</f>
        <v>29.388014331777221</v>
      </c>
      <c r="J43" s="59">
        <v>0</v>
      </c>
      <c r="K43" s="65">
        <f t="shared" si="12"/>
        <v>0</v>
      </c>
      <c r="L43" s="86">
        <f t="shared" si="13"/>
        <v>5154.8425797198997</v>
      </c>
    </row>
    <row r="44" spans="1:12" x14ac:dyDescent="0.25">
      <c r="A44" s="76">
        <v>43</v>
      </c>
      <c r="B44" s="56" t="s">
        <v>154</v>
      </c>
      <c r="C44" s="75">
        <v>1</v>
      </c>
      <c r="D44" s="75">
        <v>1</v>
      </c>
      <c r="E44" s="59">
        <v>220</v>
      </c>
      <c r="F44" s="88" t="s">
        <v>144</v>
      </c>
      <c r="G44" s="61">
        <v>1350</v>
      </c>
      <c r="H44" s="61">
        <f>COZINHEIRO!H87</f>
        <v>4528.1649643434303</v>
      </c>
      <c r="I44" s="63">
        <f t="shared" ref="I44" si="14">(H44/E44)+75%</f>
        <v>21.332568019742865</v>
      </c>
      <c r="J44" s="59">
        <v>0</v>
      </c>
      <c r="K44" s="65">
        <f t="shared" si="12"/>
        <v>0</v>
      </c>
      <c r="L44" s="86">
        <f t="shared" si="13"/>
        <v>4528.1649643434303</v>
      </c>
    </row>
    <row r="45" spans="1:12" x14ac:dyDescent="0.25">
      <c r="A45" s="76">
        <v>44</v>
      </c>
      <c r="B45" s="56" t="s">
        <v>156</v>
      </c>
      <c r="C45" s="75">
        <v>1</v>
      </c>
      <c r="D45" s="75">
        <v>1</v>
      </c>
      <c r="E45" s="59">
        <v>180</v>
      </c>
      <c r="F45" s="88" t="s">
        <v>120</v>
      </c>
      <c r="G45" s="61">
        <v>1350</v>
      </c>
      <c r="H45" s="61">
        <f>'COZINHEIRO 12X36 DIA'!H87:J87</f>
        <v>4307.2021965256245</v>
      </c>
      <c r="I45" s="63">
        <f t="shared" ref="I45:I62" si="15">(H45/E45)+75%</f>
        <v>24.678901091809024</v>
      </c>
      <c r="J45" s="59">
        <v>0</v>
      </c>
      <c r="K45" s="65">
        <f t="shared" si="12"/>
        <v>0</v>
      </c>
      <c r="L45" s="86">
        <f t="shared" si="13"/>
        <v>4307.2021965256245</v>
      </c>
    </row>
    <row r="46" spans="1:12" x14ac:dyDescent="0.25">
      <c r="A46" s="76">
        <v>45</v>
      </c>
      <c r="B46" s="56" t="s">
        <v>232</v>
      </c>
      <c r="C46" s="75">
        <v>1</v>
      </c>
      <c r="D46" s="75">
        <v>1</v>
      </c>
      <c r="E46" s="59">
        <v>220</v>
      </c>
      <c r="F46" s="88" t="s">
        <v>144</v>
      </c>
      <c r="G46" s="61">
        <v>1126</v>
      </c>
      <c r="H46" s="61">
        <f>'AUX SAUDE BUCAL'!H86:J86</f>
        <v>4470.7456559167522</v>
      </c>
      <c r="I46" s="63">
        <f t="shared" si="15"/>
        <v>21.071571163257964</v>
      </c>
      <c r="J46" s="59">
        <v>0</v>
      </c>
      <c r="K46" s="65">
        <f t="shared" si="12"/>
        <v>0</v>
      </c>
      <c r="L46" s="86">
        <f t="shared" si="13"/>
        <v>4470.7456559167522</v>
      </c>
    </row>
    <row r="47" spans="1:12" x14ac:dyDescent="0.25">
      <c r="A47" s="76">
        <v>46</v>
      </c>
      <c r="B47" s="56" t="s">
        <v>234</v>
      </c>
      <c r="C47" s="75">
        <v>1</v>
      </c>
      <c r="D47" s="75">
        <v>1</v>
      </c>
      <c r="E47" s="59">
        <v>220</v>
      </c>
      <c r="F47" s="88" t="s">
        <v>144</v>
      </c>
      <c r="G47" s="61">
        <v>1222</v>
      </c>
      <c r="H47" s="61">
        <f>'TEC SAUDE BUCAL'!H86:J86</f>
        <v>4656.6003742930388</v>
      </c>
      <c r="I47" s="63">
        <f t="shared" si="15"/>
        <v>21.91636533769563</v>
      </c>
      <c r="J47" s="59">
        <v>0</v>
      </c>
      <c r="K47" s="65">
        <f t="shared" si="12"/>
        <v>0</v>
      </c>
      <c r="L47" s="86">
        <f t="shared" si="13"/>
        <v>4656.6003742930388</v>
      </c>
    </row>
    <row r="48" spans="1:12" x14ac:dyDescent="0.25">
      <c r="A48" s="76">
        <v>47</v>
      </c>
      <c r="B48" s="56" t="s">
        <v>237</v>
      </c>
      <c r="C48" s="75">
        <v>1</v>
      </c>
      <c r="D48" s="75">
        <v>1</v>
      </c>
      <c r="E48" s="59">
        <v>220</v>
      </c>
      <c r="F48" s="88" t="s">
        <v>144</v>
      </c>
      <c r="G48" s="61">
        <v>1126</v>
      </c>
      <c r="H48" s="61">
        <f>'ATENDENTE DE FARMACIA'!H86:J86</f>
        <v>4051.756423777515</v>
      </c>
      <c r="I48" s="63">
        <f t="shared" si="15"/>
        <v>19.167074653534158</v>
      </c>
      <c r="J48" s="59">
        <v>0</v>
      </c>
      <c r="K48" s="65">
        <f t="shared" si="12"/>
        <v>0</v>
      </c>
      <c r="L48" s="86">
        <f t="shared" si="13"/>
        <v>4051.756423777515</v>
      </c>
    </row>
    <row r="49" spans="1:12" x14ac:dyDescent="0.25">
      <c r="A49" s="76">
        <v>48</v>
      </c>
      <c r="B49" s="56" t="s">
        <v>240</v>
      </c>
      <c r="C49" s="75">
        <v>1</v>
      </c>
      <c r="D49" s="75">
        <v>1</v>
      </c>
      <c r="E49" s="59">
        <v>220</v>
      </c>
      <c r="F49" s="88" t="s">
        <v>172</v>
      </c>
      <c r="G49" s="61">
        <v>1733.23</v>
      </c>
      <c r="H49" s="61">
        <f>'MOTORISTA DE LIXO'!H87:J87</f>
        <v>6373.3980076049138</v>
      </c>
      <c r="I49" s="63">
        <f t="shared" si="15"/>
        <v>29.719990943658701</v>
      </c>
      <c r="J49" s="59">
        <v>0</v>
      </c>
      <c r="K49" s="65">
        <f t="shared" si="12"/>
        <v>0</v>
      </c>
      <c r="L49" s="86">
        <f t="shared" si="13"/>
        <v>6373.3980076049138</v>
      </c>
    </row>
    <row r="50" spans="1:12" x14ac:dyDescent="0.25">
      <c r="A50" s="76">
        <v>49</v>
      </c>
      <c r="B50" s="56" t="s">
        <v>243</v>
      </c>
      <c r="C50" s="75">
        <v>1</v>
      </c>
      <c r="D50" s="75">
        <v>1</v>
      </c>
      <c r="E50" s="59">
        <v>220</v>
      </c>
      <c r="F50" s="60" t="s">
        <v>172</v>
      </c>
      <c r="G50" s="61">
        <v>1079.94</v>
      </c>
      <c r="H50" s="61">
        <f>_xlfn.SINGLE(ROÇADOR!H86)</f>
        <v>4659.9160265568589</v>
      </c>
      <c r="I50" s="63">
        <f t="shared" si="15"/>
        <v>21.931436484349359</v>
      </c>
      <c r="J50" s="59">
        <v>0</v>
      </c>
      <c r="K50" s="65">
        <f t="shared" si="12"/>
        <v>0</v>
      </c>
      <c r="L50" s="86">
        <f t="shared" si="13"/>
        <v>4659.9160265568589</v>
      </c>
    </row>
    <row r="51" spans="1:12" x14ac:dyDescent="0.25">
      <c r="A51" s="76">
        <v>50</v>
      </c>
      <c r="B51" s="56" t="s">
        <v>245</v>
      </c>
      <c r="C51" s="75">
        <v>1</v>
      </c>
      <c r="D51" s="75">
        <v>1</v>
      </c>
      <c r="E51" s="59">
        <v>220</v>
      </c>
      <c r="F51" s="60" t="s">
        <v>144</v>
      </c>
      <c r="G51" s="61">
        <v>2096.15</v>
      </c>
      <c r="H51" s="61">
        <f>SUPERVISOR!H86</f>
        <v>5732.5949064922097</v>
      </c>
      <c r="I51" s="63">
        <f t="shared" si="15"/>
        <v>26.80724957496459</v>
      </c>
      <c r="J51" s="59">
        <v>0</v>
      </c>
      <c r="K51" s="65">
        <f t="shared" si="12"/>
        <v>0</v>
      </c>
      <c r="L51" s="86">
        <f t="shared" si="13"/>
        <v>5732.5949064922097</v>
      </c>
    </row>
    <row r="52" spans="1:12" x14ac:dyDescent="0.25">
      <c r="A52" s="76">
        <v>51</v>
      </c>
      <c r="B52" s="56" t="s">
        <v>248</v>
      </c>
      <c r="C52" s="75">
        <v>1</v>
      </c>
      <c r="D52" s="75">
        <v>1</v>
      </c>
      <c r="E52" s="59">
        <v>220</v>
      </c>
      <c r="F52" s="60" t="s">
        <v>144</v>
      </c>
      <c r="G52" s="61">
        <v>1614.14</v>
      </c>
      <c r="H52" s="61">
        <f>ENCARREGADO!H86</f>
        <v>4799.4300055970707</v>
      </c>
      <c r="I52" s="63">
        <f t="shared" si="15"/>
        <v>22.565590934532139</v>
      </c>
      <c r="J52" s="59">
        <v>0</v>
      </c>
      <c r="K52" s="65">
        <f t="shared" si="12"/>
        <v>0</v>
      </c>
      <c r="L52" s="86">
        <f t="shared" si="13"/>
        <v>4799.4300055970707</v>
      </c>
    </row>
    <row r="53" spans="1:12" x14ac:dyDescent="0.25">
      <c r="A53" s="76">
        <v>52</v>
      </c>
      <c r="B53" s="56" t="s">
        <v>251</v>
      </c>
      <c r="C53" s="75">
        <v>1</v>
      </c>
      <c r="D53" s="75">
        <v>1</v>
      </c>
      <c r="E53" s="59">
        <v>150</v>
      </c>
      <c r="F53" s="60" t="s">
        <v>192</v>
      </c>
      <c r="G53" s="61">
        <v>2990.48</v>
      </c>
      <c r="H53" s="61">
        <f>'ASS SOCIAL'!H86:J86</f>
        <v>6788.8176182620782</v>
      </c>
      <c r="I53" s="63">
        <f t="shared" si="15"/>
        <v>46.00878412174719</v>
      </c>
      <c r="J53" s="59">
        <v>0</v>
      </c>
      <c r="K53" s="65">
        <f t="shared" si="12"/>
        <v>0</v>
      </c>
      <c r="L53" s="86">
        <f t="shared" si="13"/>
        <v>6788.8176182620782</v>
      </c>
    </row>
    <row r="54" spans="1:12" x14ac:dyDescent="0.25">
      <c r="A54" s="76">
        <v>53</v>
      </c>
      <c r="B54" s="90" t="s">
        <v>255</v>
      </c>
      <c r="C54" s="75">
        <v>1</v>
      </c>
      <c r="D54" s="75">
        <v>1</v>
      </c>
      <c r="E54" s="59">
        <v>180</v>
      </c>
      <c r="F54" s="60" t="s">
        <v>120</v>
      </c>
      <c r="G54" s="61">
        <v>2133.1</v>
      </c>
      <c r="H54" s="61">
        <f>BIOQUIMICO!H86</f>
        <v>6129.8931523538467</v>
      </c>
      <c r="I54" s="63">
        <f t="shared" si="15"/>
        <v>34.804961957521371</v>
      </c>
      <c r="J54" s="59">
        <v>0</v>
      </c>
      <c r="K54" s="65">
        <f t="shared" si="12"/>
        <v>0</v>
      </c>
      <c r="L54" s="86">
        <f t="shared" si="13"/>
        <v>6129.8931523538467</v>
      </c>
    </row>
    <row r="55" spans="1:12" x14ac:dyDescent="0.25">
      <c r="A55" s="76">
        <v>54</v>
      </c>
      <c r="B55" s="90" t="s">
        <v>256</v>
      </c>
      <c r="C55" s="75">
        <v>1</v>
      </c>
      <c r="D55" s="75">
        <v>1</v>
      </c>
      <c r="E55" s="59">
        <v>180</v>
      </c>
      <c r="F55" s="60" t="s">
        <v>120</v>
      </c>
      <c r="G55" s="61">
        <v>2133.1</v>
      </c>
      <c r="H55" s="61">
        <f>'BIOQUIMICO N'!H86:J86</f>
        <v>6895.7078476760053</v>
      </c>
      <c r="I55" s="63">
        <f t="shared" si="15"/>
        <v>39.059488042644475</v>
      </c>
      <c r="J55" s="59">
        <v>0</v>
      </c>
      <c r="K55" s="65">
        <f t="shared" si="12"/>
        <v>0</v>
      </c>
      <c r="L55" s="86">
        <f t="shared" si="13"/>
        <v>6895.7078476760053</v>
      </c>
    </row>
    <row r="56" spans="1:12" x14ac:dyDescent="0.25">
      <c r="A56" s="76">
        <v>55</v>
      </c>
      <c r="B56" s="56" t="s">
        <v>257</v>
      </c>
      <c r="C56" s="75">
        <v>1</v>
      </c>
      <c r="D56" s="75">
        <v>1</v>
      </c>
      <c r="E56" s="59">
        <v>150</v>
      </c>
      <c r="F56" s="60" t="s">
        <v>192</v>
      </c>
      <c r="G56" s="61">
        <v>3824.18</v>
      </c>
      <c r="H56" s="61">
        <f>DENTISTA!H86</f>
        <v>9520.0573183156685</v>
      </c>
      <c r="I56" s="63">
        <f t="shared" si="15"/>
        <v>64.217048788771123</v>
      </c>
      <c r="J56" s="59">
        <v>0</v>
      </c>
      <c r="K56" s="65">
        <f t="shared" si="12"/>
        <v>0</v>
      </c>
      <c r="L56" s="86">
        <f t="shared" si="13"/>
        <v>9520.0573183156685</v>
      </c>
    </row>
    <row r="57" spans="1:12" x14ac:dyDescent="0.25">
      <c r="A57" s="76">
        <v>56</v>
      </c>
      <c r="B57" s="56" t="s">
        <v>259</v>
      </c>
      <c r="C57" s="75">
        <v>1</v>
      </c>
      <c r="D57" s="75">
        <v>1</v>
      </c>
      <c r="E57" s="59">
        <v>150</v>
      </c>
      <c r="F57" s="60" t="s">
        <v>192</v>
      </c>
      <c r="G57" s="61">
        <v>2070.4699999999998</v>
      </c>
      <c r="H57" s="61">
        <f>FONOAUDIOLOGO!H86</f>
        <v>6004.99186835398</v>
      </c>
      <c r="I57" s="63">
        <f t="shared" si="15"/>
        <v>40.783279122359865</v>
      </c>
      <c r="J57" s="59">
        <v>0</v>
      </c>
      <c r="K57" s="65">
        <f t="shared" si="12"/>
        <v>0</v>
      </c>
      <c r="L57" s="86">
        <f t="shared" si="13"/>
        <v>6004.99186835398</v>
      </c>
    </row>
    <row r="58" spans="1:12" x14ac:dyDescent="0.25">
      <c r="A58" s="76">
        <v>57</v>
      </c>
      <c r="B58" s="56" t="s">
        <v>260</v>
      </c>
      <c r="C58" s="75">
        <v>1</v>
      </c>
      <c r="D58" s="75">
        <v>1</v>
      </c>
      <c r="E58" s="59">
        <v>200</v>
      </c>
      <c r="F58" s="60" t="s">
        <v>211</v>
      </c>
      <c r="G58" s="61">
        <v>2331.89</v>
      </c>
      <c r="H58" s="61">
        <f>NUTRICIONISTA!H86</f>
        <v>6528.4140588464725</v>
      </c>
      <c r="I58" s="63">
        <f t="shared" si="15"/>
        <v>33.392070294232362</v>
      </c>
      <c r="J58" s="59">
        <v>0</v>
      </c>
      <c r="K58" s="65">
        <f t="shared" si="12"/>
        <v>0</v>
      </c>
      <c r="L58" s="86">
        <f t="shared" si="13"/>
        <v>6528.4140588464725</v>
      </c>
    </row>
    <row r="59" spans="1:12" x14ac:dyDescent="0.25">
      <c r="A59" s="76">
        <v>58</v>
      </c>
      <c r="B59" s="56" t="s">
        <v>263</v>
      </c>
      <c r="C59" s="75">
        <v>1</v>
      </c>
      <c r="D59" s="75">
        <v>1</v>
      </c>
      <c r="E59" s="59">
        <v>150</v>
      </c>
      <c r="F59" s="60" t="s">
        <v>225</v>
      </c>
      <c r="G59" s="61">
        <v>2388.88</v>
      </c>
      <c r="H59" s="61">
        <f>PSICOLOGO!H86</f>
        <v>6642.66380209822</v>
      </c>
      <c r="I59" s="63">
        <f t="shared" si="15"/>
        <v>45.034425347321466</v>
      </c>
      <c r="J59" s="59">
        <v>0</v>
      </c>
      <c r="K59" s="65">
        <f t="shared" si="12"/>
        <v>0</v>
      </c>
      <c r="L59" s="86">
        <f t="shared" si="13"/>
        <v>6642.66380209822</v>
      </c>
    </row>
    <row r="60" spans="1:12" x14ac:dyDescent="0.25">
      <c r="A60" s="76">
        <v>59</v>
      </c>
      <c r="B60" s="56" t="s">
        <v>265</v>
      </c>
      <c r="C60" s="75">
        <v>1</v>
      </c>
      <c r="D60" s="75">
        <v>1</v>
      </c>
      <c r="E60" s="59">
        <v>150</v>
      </c>
      <c r="F60" s="60" t="s">
        <v>225</v>
      </c>
      <c r="G60" s="61">
        <f>2768.03</f>
        <v>2768.03</v>
      </c>
      <c r="H60" s="61">
        <f>TERAPEUTA!H86</f>
        <v>7402.758382794831</v>
      </c>
      <c r="I60" s="63">
        <f t="shared" si="15"/>
        <v>50.101722551965537</v>
      </c>
      <c r="J60" s="59">
        <v>0</v>
      </c>
      <c r="K60" s="65">
        <f t="shared" si="12"/>
        <v>0</v>
      </c>
      <c r="L60" s="86">
        <f t="shared" si="13"/>
        <v>7402.758382794831</v>
      </c>
    </row>
    <row r="61" spans="1:12" x14ac:dyDescent="0.25">
      <c r="A61" s="76">
        <v>60</v>
      </c>
      <c r="B61" s="56" t="s">
        <v>267</v>
      </c>
      <c r="C61" s="75">
        <v>1</v>
      </c>
      <c r="D61" s="75">
        <v>1</v>
      </c>
      <c r="E61" s="59">
        <v>100</v>
      </c>
      <c r="F61" s="60" t="s">
        <v>268</v>
      </c>
      <c r="G61" s="61">
        <v>5155.8500000000004</v>
      </c>
      <c r="H61" s="61">
        <f>'MEDICO CLINICO 20H'!H86:J86</f>
        <v>12189.700336319773</v>
      </c>
      <c r="I61" s="63">
        <f t="shared" si="15"/>
        <v>122.64700336319773</v>
      </c>
      <c r="J61" s="59">
        <v>0</v>
      </c>
      <c r="K61" s="65">
        <f t="shared" si="12"/>
        <v>0</v>
      </c>
      <c r="L61" s="86">
        <f t="shared" si="13"/>
        <v>12189.700336319773</v>
      </c>
    </row>
    <row r="62" spans="1:12" x14ac:dyDescent="0.25">
      <c r="A62" s="76">
        <v>61</v>
      </c>
      <c r="B62" s="56" t="s">
        <v>267</v>
      </c>
      <c r="C62" s="75">
        <v>1</v>
      </c>
      <c r="D62" s="75">
        <v>1</v>
      </c>
      <c r="E62" s="59">
        <v>200</v>
      </c>
      <c r="F62" s="60" t="s">
        <v>211</v>
      </c>
      <c r="G62" s="61">
        <v>10311.700000000001</v>
      </c>
      <c r="H62" s="61">
        <f>'MEDICO CLINICO 40H'!H86:J86</f>
        <v>22525.803841224486</v>
      </c>
      <c r="I62" s="63">
        <f t="shared" si="15"/>
        <v>113.37901920612244</v>
      </c>
      <c r="J62" s="59">
        <v>0</v>
      </c>
      <c r="K62" s="65">
        <f t="shared" si="12"/>
        <v>0</v>
      </c>
      <c r="L62" s="86">
        <f t="shared" si="13"/>
        <v>22525.803841224486</v>
      </c>
    </row>
    <row r="63" spans="1:12" x14ac:dyDescent="0.25">
      <c r="A63" s="76">
        <v>62</v>
      </c>
      <c r="B63" s="56" t="s">
        <v>278</v>
      </c>
      <c r="C63" s="75">
        <v>1</v>
      </c>
      <c r="D63" s="75">
        <v>1</v>
      </c>
      <c r="E63" s="92" t="s">
        <v>207</v>
      </c>
      <c r="F63" s="88" t="s">
        <v>207</v>
      </c>
      <c r="G63" s="61">
        <v>1500</v>
      </c>
      <c r="H63" s="61">
        <f>PLANTONISTA!H86</f>
        <v>3078.0069899707828</v>
      </c>
      <c r="I63" s="63"/>
      <c r="J63" s="59"/>
      <c r="K63" s="65">
        <f t="shared" si="12"/>
        <v>0</v>
      </c>
      <c r="L63" s="86">
        <f t="shared" si="13"/>
        <v>3078.0069899707828</v>
      </c>
    </row>
    <row r="64" spans="1:12" x14ac:dyDescent="0.25">
      <c r="A64" s="76">
        <v>63</v>
      </c>
      <c r="B64" s="56" t="s">
        <v>270</v>
      </c>
      <c r="C64" s="75">
        <v>1</v>
      </c>
      <c r="D64" s="75">
        <v>1</v>
      </c>
      <c r="E64" s="59">
        <v>100</v>
      </c>
      <c r="F64" s="60" t="s">
        <v>268</v>
      </c>
      <c r="G64" s="61">
        <f>7661.93</f>
        <v>7661.93</v>
      </c>
      <c r="H64" s="61">
        <f>'MEDICO ESP'!H86:J86</f>
        <v>17213.722034307808</v>
      </c>
      <c r="I64" s="63">
        <f t="shared" ref="I64" si="16">(H64/E64)+75%</f>
        <v>172.88722034307807</v>
      </c>
      <c r="J64" s="59">
        <v>0</v>
      </c>
      <c r="K64" s="65">
        <f t="shared" si="12"/>
        <v>0</v>
      </c>
      <c r="L64" s="86">
        <f t="shared" si="13"/>
        <v>17213.722034307808</v>
      </c>
    </row>
    <row r="65" spans="1:12" x14ac:dyDescent="0.25">
      <c r="A65" s="76">
        <v>66</v>
      </c>
      <c r="B65" s="90" t="s">
        <v>272</v>
      </c>
      <c r="C65" s="75">
        <v>1</v>
      </c>
      <c r="D65" s="75">
        <v>1</v>
      </c>
      <c r="E65" s="59">
        <v>220</v>
      </c>
      <c r="F65" s="60" t="s">
        <v>171</v>
      </c>
      <c r="G65" s="61">
        <v>1752</v>
      </c>
      <c r="H65" s="61">
        <f>'OBRAS 1'!H86:J86</f>
        <v>6997.1939878016401</v>
      </c>
      <c r="I65" s="63">
        <f t="shared" ref="I65:I70" si="17">(H65/E65)+75%</f>
        <v>32.555427217280183</v>
      </c>
      <c r="J65" s="59">
        <v>0</v>
      </c>
      <c r="K65" s="65">
        <f t="shared" si="12"/>
        <v>0</v>
      </c>
      <c r="L65" s="86">
        <f t="shared" si="13"/>
        <v>6997.1939878016401</v>
      </c>
    </row>
    <row r="66" spans="1:12" x14ac:dyDescent="0.25">
      <c r="A66" s="76">
        <v>67</v>
      </c>
      <c r="B66" s="90" t="s">
        <v>273</v>
      </c>
      <c r="C66" s="75">
        <v>1</v>
      </c>
      <c r="D66" s="75">
        <v>1</v>
      </c>
      <c r="E66" s="59">
        <v>220</v>
      </c>
      <c r="F66" s="60" t="s">
        <v>171</v>
      </c>
      <c r="G66" s="61">
        <v>1116</v>
      </c>
      <c r="H66" s="61">
        <f>'OBRAS AJUDANTE'!H86:J86</f>
        <v>5383.4034318478161</v>
      </c>
      <c r="I66" s="63">
        <f t="shared" si="17"/>
        <v>25.220015599308255</v>
      </c>
      <c r="J66" s="59">
        <v>0</v>
      </c>
      <c r="K66" s="65">
        <f t="shared" si="12"/>
        <v>0</v>
      </c>
      <c r="L66" s="86">
        <f t="shared" si="13"/>
        <v>5383.4034318478161</v>
      </c>
    </row>
    <row r="67" spans="1:12" x14ac:dyDescent="0.25">
      <c r="A67" s="76">
        <v>68</v>
      </c>
      <c r="B67" s="90" t="s">
        <v>274</v>
      </c>
      <c r="C67" s="75">
        <v>1</v>
      </c>
      <c r="D67" s="75">
        <v>1</v>
      </c>
      <c r="E67" s="59">
        <v>220</v>
      </c>
      <c r="F67" s="60" t="s">
        <v>171</v>
      </c>
      <c r="G67" s="61">
        <v>1752</v>
      </c>
      <c r="H67" s="61">
        <f>'OBRAS 1'!H$86:J$86</f>
        <v>6997.1939878016401</v>
      </c>
      <c r="I67" s="63">
        <f t="shared" si="17"/>
        <v>32.555427217280183</v>
      </c>
      <c r="J67" s="59">
        <v>0</v>
      </c>
      <c r="K67" s="65">
        <f t="shared" si="12"/>
        <v>0</v>
      </c>
      <c r="L67" s="86">
        <f t="shared" si="13"/>
        <v>6997.1939878016401</v>
      </c>
    </row>
    <row r="68" spans="1:12" x14ac:dyDescent="0.25">
      <c r="A68" s="76">
        <v>69</v>
      </c>
      <c r="B68" s="90" t="s">
        <v>275</v>
      </c>
      <c r="C68" s="75">
        <v>1</v>
      </c>
      <c r="D68" s="75">
        <v>1</v>
      </c>
      <c r="E68" s="59">
        <v>220</v>
      </c>
      <c r="F68" s="60" t="s">
        <v>171</v>
      </c>
      <c r="G68" s="61">
        <v>1752</v>
      </c>
      <c r="H68" s="61">
        <f>'OBRAS 1'!H$86:J$86</f>
        <v>6997.1939878016401</v>
      </c>
      <c r="I68" s="63">
        <f t="shared" si="17"/>
        <v>32.555427217280183</v>
      </c>
      <c r="J68" s="59">
        <v>0</v>
      </c>
      <c r="K68" s="65">
        <f t="shared" si="12"/>
        <v>0</v>
      </c>
      <c r="L68" s="86">
        <f t="shared" si="13"/>
        <v>6997.1939878016401</v>
      </c>
    </row>
    <row r="69" spans="1:12" x14ac:dyDescent="0.25">
      <c r="A69" s="76">
        <v>70</v>
      </c>
      <c r="B69" s="90" t="s">
        <v>276</v>
      </c>
      <c r="C69" s="75">
        <v>1</v>
      </c>
      <c r="D69" s="75">
        <v>1</v>
      </c>
      <c r="E69" s="59">
        <v>220</v>
      </c>
      <c r="F69" s="60" t="s">
        <v>171</v>
      </c>
      <c r="G69" s="61">
        <v>1752</v>
      </c>
      <c r="H69" s="61">
        <f>'OBRAS 1'!H$86:J$86</f>
        <v>6997.1939878016401</v>
      </c>
      <c r="I69" s="63">
        <f t="shared" si="17"/>
        <v>32.555427217280183</v>
      </c>
      <c r="J69" s="59">
        <v>0</v>
      </c>
      <c r="K69" s="65">
        <f t="shared" si="12"/>
        <v>0</v>
      </c>
      <c r="L69" s="86">
        <f t="shared" si="13"/>
        <v>6997.1939878016401</v>
      </c>
    </row>
    <row r="70" spans="1:12" x14ac:dyDescent="0.25">
      <c r="A70" s="76">
        <v>71</v>
      </c>
      <c r="B70" s="90" t="s">
        <v>277</v>
      </c>
      <c r="C70" s="75">
        <v>1</v>
      </c>
      <c r="D70" s="75">
        <v>1</v>
      </c>
      <c r="E70" s="59">
        <v>220</v>
      </c>
      <c r="F70" s="60" t="s">
        <v>171</v>
      </c>
      <c r="G70" s="61">
        <v>1752</v>
      </c>
      <c r="H70" s="61">
        <f>'OBRAS 1'!H$86:J$86</f>
        <v>6997.1939878016401</v>
      </c>
      <c r="I70" s="63">
        <f t="shared" si="17"/>
        <v>32.555427217280183</v>
      </c>
      <c r="J70" s="59">
        <v>0</v>
      </c>
      <c r="K70" s="65">
        <f t="shared" si="12"/>
        <v>0</v>
      </c>
      <c r="L70" s="86">
        <f t="shared" si="13"/>
        <v>6997.1939878016401</v>
      </c>
    </row>
    <row r="71" spans="1:12" x14ac:dyDescent="0.25">
      <c r="A71" s="77">
        <v>73</v>
      </c>
      <c r="B71" s="56" t="s">
        <v>288</v>
      </c>
      <c r="C71" s="75">
        <v>1</v>
      </c>
      <c r="D71" s="75">
        <v>1</v>
      </c>
      <c r="E71" s="59" t="s">
        <v>289</v>
      </c>
      <c r="F71" s="60" t="s">
        <v>289</v>
      </c>
      <c r="G71" s="61">
        <v>150</v>
      </c>
      <c r="H71" s="61">
        <v>150</v>
      </c>
      <c r="I71" s="63">
        <v>0</v>
      </c>
      <c r="J71" s="59">
        <v>0</v>
      </c>
      <c r="K71" s="65">
        <f t="shared" si="12"/>
        <v>0</v>
      </c>
      <c r="L71" s="86">
        <f t="shared" si="13"/>
        <v>150</v>
      </c>
    </row>
    <row r="72" spans="1:12" x14ac:dyDescent="0.25">
      <c r="A72" s="77">
        <v>74</v>
      </c>
      <c r="B72" s="56" t="s">
        <v>294</v>
      </c>
      <c r="C72" s="75">
        <v>1</v>
      </c>
      <c r="D72" s="75">
        <v>1</v>
      </c>
      <c r="E72" s="59">
        <v>200</v>
      </c>
      <c r="F72" s="60" t="s">
        <v>211</v>
      </c>
      <c r="G72" s="61">
        <f>'ENGº JÚNIOR'!E6</f>
        <v>7328.67</v>
      </c>
      <c r="H72" s="61">
        <f>'ENGº JÚNIOR'!H86</f>
        <v>21423.398717929427</v>
      </c>
      <c r="I72" s="63">
        <v>0</v>
      </c>
      <c r="J72" s="59">
        <v>0</v>
      </c>
      <c r="K72" s="65">
        <f t="shared" si="12"/>
        <v>0</v>
      </c>
      <c r="L72" s="86">
        <f t="shared" si="13"/>
        <v>21423.398717929427</v>
      </c>
    </row>
    <row r="73" spans="1:12" x14ac:dyDescent="0.25">
      <c r="A73" s="77">
        <v>75</v>
      </c>
      <c r="B73" s="56" t="s">
        <v>292</v>
      </c>
      <c r="C73" s="75">
        <v>1</v>
      </c>
      <c r="D73" s="75">
        <v>1</v>
      </c>
      <c r="E73" s="59">
        <v>200</v>
      </c>
      <c r="F73" s="60" t="s">
        <v>211</v>
      </c>
      <c r="G73" s="61">
        <f>'ENGº PLENO'!E6</f>
        <v>12229.83</v>
      </c>
      <c r="H73" s="61">
        <f>'ENGº PLENO'!H86</f>
        <v>34196.571805940141</v>
      </c>
      <c r="I73" s="63">
        <v>0</v>
      </c>
      <c r="J73" s="59">
        <v>0</v>
      </c>
      <c r="K73" s="65">
        <f t="shared" ref="K73" si="18">J73*I73</f>
        <v>0</v>
      </c>
      <c r="L73" s="86">
        <f t="shared" ref="L73" si="19">H73+K73</f>
        <v>34196.571805940141</v>
      </c>
    </row>
    <row r="74" spans="1:12" x14ac:dyDescent="0.25">
      <c r="A74" s="77">
        <v>76</v>
      </c>
      <c r="B74" s="56" t="s">
        <v>293</v>
      </c>
      <c r="C74" s="75">
        <v>1</v>
      </c>
      <c r="D74" s="75">
        <v>1</v>
      </c>
      <c r="E74" s="59">
        <v>200</v>
      </c>
      <c r="F74" s="60" t="s">
        <v>211</v>
      </c>
      <c r="G74" s="61">
        <f>'ENG° SENIOR'!E6</f>
        <v>13429.67</v>
      </c>
      <c r="H74" s="61">
        <f>'ENG° SENIOR'!H86</f>
        <v>37323.538482791904</v>
      </c>
      <c r="I74" s="63">
        <v>0</v>
      </c>
      <c r="J74" s="59">
        <v>0</v>
      </c>
      <c r="K74" s="65">
        <f>J74*I74</f>
        <v>0</v>
      </c>
      <c r="L74" s="86">
        <f>H74+K74</f>
        <v>37323.538482791904</v>
      </c>
    </row>
    <row r="75" spans="1:12" x14ac:dyDescent="0.25">
      <c r="A75" s="77">
        <v>77</v>
      </c>
      <c r="B75" s="56" t="s">
        <v>296</v>
      </c>
      <c r="C75" s="75">
        <v>1</v>
      </c>
      <c r="D75" s="75">
        <v>1</v>
      </c>
      <c r="E75" s="59">
        <v>220</v>
      </c>
      <c r="F75" s="60" t="s">
        <v>171</v>
      </c>
      <c r="G75" s="61">
        <v>2156.69</v>
      </c>
      <c r="H75" s="61">
        <f t="array" ref="H75:J75">'TEC INFORMATICA'!H86:J86</f>
        <v>6170.4523213474367</v>
      </c>
      <c r="I75" s="63">
        <v>0</v>
      </c>
      <c r="J75" s="59">
        <v>0</v>
      </c>
      <c r="K75" s="65">
        <f>J75*I75</f>
        <v>0</v>
      </c>
      <c r="L75" s="86">
        <f>H75+K75</f>
        <v>6170.4523213474367</v>
      </c>
    </row>
    <row r="76" spans="1:12" ht="54" customHeight="1" x14ac:dyDescent="0.25">
      <c r="A76" s="78"/>
      <c r="B76" s="79"/>
      <c r="C76" s="80"/>
      <c r="D76" s="34"/>
      <c r="E76" s="34"/>
      <c r="F76" s="35"/>
      <c r="G76" s="36"/>
      <c r="H76" s="36"/>
      <c r="I76" s="33"/>
      <c r="J76" s="34"/>
      <c r="K76" s="37"/>
      <c r="L76" s="37"/>
    </row>
    <row r="77" spans="1:12" x14ac:dyDescent="0.25">
      <c r="A77" s="225" t="s">
        <v>108</v>
      </c>
      <c r="B77" s="226"/>
      <c r="C77" s="227"/>
      <c r="I77" s="18"/>
    </row>
    <row r="78" spans="1:12" x14ac:dyDescent="0.25">
      <c r="A78" s="73" t="s">
        <v>13</v>
      </c>
      <c r="B78" s="74" t="s">
        <v>0</v>
      </c>
      <c r="C78" s="81" t="s">
        <v>107</v>
      </c>
    </row>
    <row r="79" spans="1:12" x14ac:dyDescent="0.25">
      <c r="A79" s="77">
        <v>1</v>
      </c>
      <c r="B79" s="56" t="s">
        <v>140</v>
      </c>
      <c r="C79" s="63">
        <f t="shared" ref="C79" si="20">C2*L2</f>
        <v>4924.4841411127027</v>
      </c>
    </row>
    <row r="80" spans="1:12" x14ac:dyDescent="0.25">
      <c r="A80" s="77">
        <v>2</v>
      </c>
      <c r="B80" s="56" t="s">
        <v>138</v>
      </c>
      <c r="C80" s="63">
        <f t="shared" ref="C80:C87" si="21">C3*L3</f>
        <v>4604.1425603950574</v>
      </c>
    </row>
    <row r="81" spans="1:3" x14ac:dyDescent="0.25">
      <c r="A81" s="77">
        <v>3</v>
      </c>
      <c r="B81" s="56" t="s">
        <v>143</v>
      </c>
      <c r="C81" s="63">
        <f t="shared" si="21"/>
        <v>5437.8884274727006</v>
      </c>
    </row>
    <row r="82" spans="1:3" x14ac:dyDescent="0.25">
      <c r="A82" s="77">
        <v>4</v>
      </c>
      <c r="B82" s="56" t="s">
        <v>146</v>
      </c>
      <c r="C82" s="63">
        <f t="shared" si="21"/>
        <v>5117.5468467550545</v>
      </c>
    </row>
    <row r="83" spans="1:3" x14ac:dyDescent="0.25">
      <c r="A83" s="77">
        <v>5</v>
      </c>
      <c r="B83" s="56" t="s">
        <v>147</v>
      </c>
      <c r="C83" s="63">
        <f t="shared" si="21"/>
        <v>5739.1221071907466</v>
      </c>
    </row>
    <row r="84" spans="1:3" x14ac:dyDescent="0.25">
      <c r="A84" s="77">
        <v>6</v>
      </c>
      <c r="B84" s="56" t="s">
        <v>152</v>
      </c>
      <c r="C84" s="63">
        <f t="shared" si="21"/>
        <v>4049.6404721861722</v>
      </c>
    </row>
    <row r="85" spans="1:3" x14ac:dyDescent="0.25">
      <c r="A85" s="77">
        <v>7</v>
      </c>
      <c r="B85" s="56" t="s">
        <v>155</v>
      </c>
      <c r="C85" s="63">
        <f t="shared" si="21"/>
        <v>3828.6777282564281</v>
      </c>
    </row>
    <row r="86" spans="1:3" x14ac:dyDescent="0.25">
      <c r="A86" s="77">
        <v>8</v>
      </c>
      <c r="B86" s="62" t="s">
        <v>157</v>
      </c>
      <c r="C86" s="63">
        <f t="shared" si="21"/>
        <v>4009.0882172775896</v>
      </c>
    </row>
    <row r="87" spans="1:3" x14ac:dyDescent="0.25">
      <c r="A87" s="77">
        <v>9</v>
      </c>
      <c r="B87" s="62" t="s">
        <v>159</v>
      </c>
      <c r="C87" s="63">
        <f t="shared" si="21"/>
        <v>4428.0770394241863</v>
      </c>
    </row>
    <row r="88" spans="1:3" x14ac:dyDescent="0.25">
      <c r="A88" s="77">
        <v>10</v>
      </c>
      <c r="B88" s="62" t="s">
        <v>160</v>
      </c>
      <c r="C88" s="63">
        <f>L11*C11</f>
        <v>4847.0658615707835</v>
      </c>
    </row>
    <row r="89" spans="1:3" x14ac:dyDescent="0.25">
      <c r="A89" s="77">
        <v>11</v>
      </c>
      <c r="B89" s="62" t="s">
        <v>163</v>
      </c>
      <c r="C89" s="63">
        <f>C12*L12</f>
        <v>3688.746941731993</v>
      </c>
    </row>
    <row r="90" spans="1:3" x14ac:dyDescent="0.25">
      <c r="A90" s="77">
        <v>12</v>
      </c>
      <c r="B90" s="62" t="s">
        <v>164</v>
      </c>
      <c r="C90" s="63">
        <f>C13*L13</f>
        <v>4107.7357638785907</v>
      </c>
    </row>
    <row r="91" spans="1:3" x14ac:dyDescent="0.25">
      <c r="A91" s="77">
        <v>13</v>
      </c>
      <c r="B91" s="62" t="s">
        <v>166</v>
      </c>
      <c r="C91" s="63">
        <f>C14*L14</f>
        <v>4526.724586025186</v>
      </c>
    </row>
    <row r="92" spans="1:3" x14ac:dyDescent="0.25">
      <c r="A92" s="77">
        <v>14</v>
      </c>
      <c r="B92" s="62" t="s">
        <v>167</v>
      </c>
      <c r="C92" s="63">
        <f>C15*L15</f>
        <v>4069.7799363818767</v>
      </c>
    </row>
    <row r="93" spans="1:3" x14ac:dyDescent="0.25">
      <c r="A93" s="77">
        <v>15</v>
      </c>
      <c r="B93" s="62" t="s">
        <v>168</v>
      </c>
      <c r="C93" s="63">
        <f>C16*L16</f>
        <v>4558.7949589292948</v>
      </c>
    </row>
    <row r="94" spans="1:3" x14ac:dyDescent="0.25">
      <c r="A94" s="77">
        <v>16</v>
      </c>
      <c r="B94" s="62" t="s">
        <v>169</v>
      </c>
      <c r="C94" s="63">
        <f>L17*C17</f>
        <v>5047.8099814767111</v>
      </c>
    </row>
    <row r="95" spans="1:3" x14ac:dyDescent="0.25">
      <c r="A95" s="77">
        <v>17</v>
      </c>
      <c r="B95" s="62" t="s">
        <v>170</v>
      </c>
      <c r="C95" s="63">
        <f t="shared" ref="C95" si="22">C18*L18</f>
        <v>4813.9415298790846</v>
      </c>
    </row>
    <row r="96" spans="1:3" x14ac:dyDescent="0.25">
      <c r="A96" s="77">
        <v>18</v>
      </c>
      <c r="B96" s="62" t="s">
        <v>177</v>
      </c>
      <c r="C96" s="63">
        <f t="shared" ref="C96:C106" si="23">C19*L19</f>
        <v>5024.1507546134781</v>
      </c>
    </row>
    <row r="97" spans="1:3" x14ac:dyDescent="0.25">
      <c r="A97" s="77">
        <v>19</v>
      </c>
      <c r="B97" s="62" t="s">
        <v>179</v>
      </c>
      <c r="C97" s="63">
        <f t="shared" si="23"/>
        <v>4277.9387877232175</v>
      </c>
    </row>
    <row r="98" spans="1:3" x14ac:dyDescent="0.25">
      <c r="A98" s="77">
        <v>20</v>
      </c>
      <c r="B98" s="62" t="s">
        <v>182</v>
      </c>
      <c r="C98" s="63">
        <f t="shared" si="23"/>
        <v>4719.6527020285985</v>
      </c>
    </row>
    <row r="99" spans="1:3" x14ac:dyDescent="0.25">
      <c r="A99" s="77">
        <v>21</v>
      </c>
      <c r="B99" s="62" t="s">
        <v>187</v>
      </c>
      <c r="C99" s="63">
        <f t="shared" si="23"/>
        <v>3978.0289233117987</v>
      </c>
    </row>
    <row r="100" spans="1:3" x14ac:dyDescent="0.25">
      <c r="A100" s="77">
        <v>22</v>
      </c>
      <c r="B100" s="62" t="s">
        <v>208</v>
      </c>
      <c r="C100" s="63">
        <f t="shared" si="23"/>
        <v>5634.5079175173214</v>
      </c>
    </row>
    <row r="101" spans="1:3" x14ac:dyDescent="0.25">
      <c r="A101" s="77">
        <v>23</v>
      </c>
      <c r="B101" s="62" t="s">
        <v>209</v>
      </c>
      <c r="C101" s="63">
        <f t="shared" si="23"/>
        <v>6474.3460472912147</v>
      </c>
    </row>
    <row r="102" spans="1:3" x14ac:dyDescent="0.25">
      <c r="A102" s="77">
        <v>24</v>
      </c>
      <c r="B102" s="62" t="s">
        <v>193</v>
      </c>
      <c r="C102" s="63">
        <f t="shared" si="23"/>
        <v>4665.1315658092617</v>
      </c>
    </row>
    <row r="103" spans="1:3" x14ac:dyDescent="0.25">
      <c r="A103" s="77">
        <v>25</v>
      </c>
      <c r="B103" s="64" t="s">
        <v>291</v>
      </c>
      <c r="C103" s="63">
        <f t="shared" si="23"/>
        <v>3662.3252005634886</v>
      </c>
    </row>
    <row r="104" spans="1:3" x14ac:dyDescent="0.25">
      <c r="A104" s="77">
        <v>26</v>
      </c>
      <c r="B104" s="62" t="s">
        <v>199</v>
      </c>
      <c r="C104" s="63">
        <f t="shared" si="23"/>
        <v>5288.9061393787406</v>
      </c>
    </row>
    <row r="105" spans="1:3" x14ac:dyDescent="0.25">
      <c r="A105" s="77">
        <v>27</v>
      </c>
      <c r="B105" s="62" t="s">
        <v>200</v>
      </c>
      <c r="C105" s="63">
        <f t="shared" si="23"/>
        <v>7426.7387289798635</v>
      </c>
    </row>
    <row r="106" spans="1:3" x14ac:dyDescent="0.25">
      <c r="A106" s="77">
        <v>28</v>
      </c>
      <c r="B106" s="62" t="s">
        <v>203</v>
      </c>
      <c r="C106" s="63">
        <f t="shared" si="23"/>
        <v>5190.7889325271808</v>
      </c>
    </row>
    <row r="107" spans="1:3" x14ac:dyDescent="0.25">
      <c r="A107" s="77">
        <v>29</v>
      </c>
      <c r="B107" s="62" t="s">
        <v>204</v>
      </c>
      <c r="C107" s="63">
        <f>D30*L30</f>
        <v>8127.6991004514039</v>
      </c>
    </row>
    <row r="108" spans="1:3" x14ac:dyDescent="0.25">
      <c r="A108" s="77">
        <v>30</v>
      </c>
      <c r="B108" s="62" t="s">
        <v>206</v>
      </c>
      <c r="C108" s="63">
        <f t="shared" ref="C108" si="24">C31*L31</f>
        <v>9179.0673120562733</v>
      </c>
    </row>
    <row r="109" spans="1:3" x14ac:dyDescent="0.25">
      <c r="A109" s="77">
        <v>31</v>
      </c>
      <c r="B109" s="56" t="s">
        <v>184</v>
      </c>
      <c r="C109" s="63">
        <f t="shared" ref="C109:C123" si="25">C32*L32</f>
        <v>4495.111301569671</v>
      </c>
    </row>
    <row r="110" spans="1:3" x14ac:dyDescent="0.25">
      <c r="A110" s="77">
        <v>32</v>
      </c>
      <c r="B110" s="56" t="s">
        <v>185</v>
      </c>
      <c r="C110" s="63">
        <f t="shared" si="25"/>
        <v>4167.9971173439153</v>
      </c>
    </row>
    <row r="111" spans="1:3" x14ac:dyDescent="0.25">
      <c r="A111" s="77">
        <v>33</v>
      </c>
      <c r="B111" s="56" t="s">
        <v>186</v>
      </c>
      <c r="C111" s="63">
        <f t="shared" si="25"/>
        <v>4890.6036049445574</v>
      </c>
    </row>
    <row r="112" spans="1:3" x14ac:dyDescent="0.25">
      <c r="A112" s="77">
        <v>34</v>
      </c>
      <c r="B112" s="56" t="s">
        <v>210</v>
      </c>
      <c r="C112" s="63">
        <f t="shared" si="25"/>
        <v>9452.9595057152401</v>
      </c>
    </row>
    <row r="113" spans="1:3" x14ac:dyDescent="0.25">
      <c r="A113" s="77">
        <v>35</v>
      </c>
      <c r="B113" s="56" t="s">
        <v>215</v>
      </c>
      <c r="C113" s="63">
        <f t="shared" si="25"/>
        <v>3800.1020212967842</v>
      </c>
    </row>
    <row r="114" spans="1:3" x14ac:dyDescent="0.25">
      <c r="A114" s="77">
        <v>36</v>
      </c>
      <c r="B114" s="56" t="s">
        <v>218</v>
      </c>
      <c r="C114" s="63">
        <f t="shared" si="25"/>
        <v>3715.2000711007804</v>
      </c>
    </row>
    <row r="115" spans="1:3" x14ac:dyDescent="0.25">
      <c r="A115" s="77">
        <v>37</v>
      </c>
      <c r="B115" s="56" t="s">
        <v>219</v>
      </c>
      <c r="C115" s="63">
        <f t="shared" si="25"/>
        <v>4419.2053594796871</v>
      </c>
    </row>
    <row r="116" spans="1:3" x14ac:dyDescent="0.25">
      <c r="A116" s="77">
        <v>38</v>
      </c>
      <c r="B116" s="66" t="s">
        <v>220</v>
      </c>
      <c r="C116" s="63">
        <f t="shared" si="25"/>
        <v>6023.0546237961762</v>
      </c>
    </row>
    <row r="117" spans="1:3" x14ac:dyDescent="0.25">
      <c r="A117" s="77">
        <v>39</v>
      </c>
      <c r="B117" s="66" t="s">
        <v>223</v>
      </c>
      <c r="C117" s="63">
        <f t="shared" si="25"/>
        <v>7114.6908823473605</v>
      </c>
    </row>
    <row r="118" spans="1:3" x14ac:dyDescent="0.25">
      <c r="A118" s="77">
        <v>40</v>
      </c>
      <c r="B118" s="56" t="s">
        <v>224</v>
      </c>
      <c r="C118" s="63">
        <f t="shared" si="25"/>
        <v>4341.003795627752</v>
      </c>
    </row>
    <row r="119" spans="1:3" x14ac:dyDescent="0.25">
      <c r="A119" s="77">
        <v>41</v>
      </c>
      <c r="B119" s="56" t="s">
        <v>228</v>
      </c>
      <c r="C119" s="63">
        <f t="shared" si="25"/>
        <v>4568.6048307700548</v>
      </c>
    </row>
    <row r="120" spans="1:3" x14ac:dyDescent="0.25">
      <c r="A120" s="77">
        <v>42</v>
      </c>
      <c r="B120" s="56" t="s">
        <v>231</v>
      </c>
      <c r="C120" s="63">
        <f t="shared" si="25"/>
        <v>5154.8425797198997</v>
      </c>
    </row>
    <row r="121" spans="1:3" x14ac:dyDescent="0.25">
      <c r="A121" s="77">
        <v>43</v>
      </c>
      <c r="B121" s="56" t="s">
        <v>154</v>
      </c>
      <c r="C121" s="63">
        <f t="shared" si="25"/>
        <v>4528.1649643434303</v>
      </c>
    </row>
    <row r="122" spans="1:3" x14ac:dyDescent="0.25">
      <c r="A122" s="77">
        <v>44</v>
      </c>
      <c r="B122" s="56" t="s">
        <v>156</v>
      </c>
      <c r="C122" s="63">
        <f t="shared" si="25"/>
        <v>4307.2021965256245</v>
      </c>
    </row>
    <row r="123" spans="1:3" x14ac:dyDescent="0.25">
      <c r="A123" s="77">
        <v>45</v>
      </c>
      <c r="B123" s="56" t="s">
        <v>232</v>
      </c>
      <c r="C123" s="63">
        <f t="shared" si="25"/>
        <v>4470.7456559167522</v>
      </c>
    </row>
    <row r="124" spans="1:3" x14ac:dyDescent="0.25">
      <c r="A124" s="77">
        <v>46</v>
      </c>
      <c r="B124" s="56" t="s">
        <v>234</v>
      </c>
      <c r="C124" s="63">
        <f>C71*L47</f>
        <v>4656.6003742930388</v>
      </c>
    </row>
    <row r="125" spans="1:3" x14ac:dyDescent="0.25">
      <c r="A125" s="77">
        <v>47</v>
      </c>
      <c r="B125" s="56" t="s">
        <v>237</v>
      </c>
      <c r="C125" s="91">
        <f t="shared" ref="C125" si="26">C48*L48</f>
        <v>4051.756423777515</v>
      </c>
    </row>
    <row r="126" spans="1:3" x14ac:dyDescent="0.25">
      <c r="A126" s="77">
        <v>48</v>
      </c>
      <c r="B126" s="56" t="s">
        <v>240</v>
      </c>
      <c r="C126" s="91">
        <f t="shared" ref="C126:C142" si="27">C49*L49</f>
        <v>6373.3980076049138</v>
      </c>
    </row>
    <row r="127" spans="1:3" x14ac:dyDescent="0.25">
      <c r="A127" s="77">
        <v>49</v>
      </c>
      <c r="B127" s="56" t="s">
        <v>243</v>
      </c>
      <c r="C127" s="91">
        <f t="shared" si="27"/>
        <v>4659.9160265568589</v>
      </c>
    </row>
    <row r="128" spans="1:3" x14ac:dyDescent="0.25">
      <c r="A128" s="77">
        <v>50</v>
      </c>
      <c r="B128" s="56" t="s">
        <v>245</v>
      </c>
      <c r="C128" s="91">
        <f t="shared" si="27"/>
        <v>5732.5949064922097</v>
      </c>
    </row>
    <row r="129" spans="1:3" x14ac:dyDescent="0.25">
      <c r="A129" s="77">
        <v>51</v>
      </c>
      <c r="B129" s="56" t="s">
        <v>248</v>
      </c>
      <c r="C129" s="91">
        <f t="shared" si="27"/>
        <v>4799.4300055970707</v>
      </c>
    </row>
    <row r="130" spans="1:3" x14ac:dyDescent="0.25">
      <c r="A130" s="77">
        <v>52</v>
      </c>
      <c r="B130" s="56" t="s">
        <v>251</v>
      </c>
      <c r="C130" s="91">
        <f t="shared" si="27"/>
        <v>6788.8176182620782</v>
      </c>
    </row>
    <row r="131" spans="1:3" x14ac:dyDescent="0.25">
      <c r="A131" s="77">
        <v>53</v>
      </c>
      <c r="B131" s="90" t="s">
        <v>255</v>
      </c>
      <c r="C131" s="91">
        <f t="shared" si="27"/>
        <v>6129.8931523538467</v>
      </c>
    </row>
    <row r="132" spans="1:3" x14ac:dyDescent="0.25">
      <c r="A132" s="77">
        <v>54</v>
      </c>
      <c r="B132" s="90" t="s">
        <v>256</v>
      </c>
      <c r="C132" s="91">
        <f t="shared" si="27"/>
        <v>6895.7078476760053</v>
      </c>
    </row>
    <row r="133" spans="1:3" x14ac:dyDescent="0.25">
      <c r="A133" s="77">
        <v>55</v>
      </c>
      <c r="B133" s="56" t="s">
        <v>257</v>
      </c>
      <c r="C133" s="91">
        <f t="shared" si="27"/>
        <v>9520.0573183156685</v>
      </c>
    </row>
    <row r="134" spans="1:3" x14ac:dyDescent="0.25">
      <c r="A134" s="77">
        <v>56</v>
      </c>
      <c r="B134" s="56" t="s">
        <v>259</v>
      </c>
      <c r="C134" s="91">
        <f t="shared" si="27"/>
        <v>6004.99186835398</v>
      </c>
    </row>
    <row r="135" spans="1:3" x14ac:dyDescent="0.25">
      <c r="A135" s="77">
        <v>57</v>
      </c>
      <c r="B135" s="56" t="s">
        <v>260</v>
      </c>
      <c r="C135" s="91">
        <f t="shared" si="27"/>
        <v>6528.4140588464725</v>
      </c>
    </row>
    <row r="136" spans="1:3" x14ac:dyDescent="0.25">
      <c r="A136" s="77">
        <v>58</v>
      </c>
      <c r="B136" s="56" t="s">
        <v>263</v>
      </c>
      <c r="C136" s="91">
        <f t="shared" si="27"/>
        <v>6642.66380209822</v>
      </c>
    </row>
    <row r="137" spans="1:3" x14ac:dyDescent="0.25">
      <c r="A137" s="77">
        <v>59</v>
      </c>
      <c r="B137" s="56" t="s">
        <v>265</v>
      </c>
      <c r="C137" s="91">
        <f t="shared" si="27"/>
        <v>7402.758382794831</v>
      </c>
    </row>
    <row r="138" spans="1:3" x14ac:dyDescent="0.25">
      <c r="A138" s="77">
        <v>60</v>
      </c>
      <c r="B138" s="56" t="s">
        <v>267</v>
      </c>
      <c r="C138" s="91">
        <f t="shared" si="27"/>
        <v>12189.700336319773</v>
      </c>
    </row>
    <row r="139" spans="1:3" x14ac:dyDescent="0.25">
      <c r="A139" s="77">
        <v>61</v>
      </c>
      <c r="B139" s="56" t="s">
        <v>267</v>
      </c>
      <c r="C139" s="91">
        <f t="shared" si="27"/>
        <v>22525.803841224486</v>
      </c>
    </row>
    <row r="140" spans="1:3" x14ac:dyDescent="0.25">
      <c r="A140" s="77">
        <v>52</v>
      </c>
      <c r="B140" s="56" t="s">
        <v>278</v>
      </c>
      <c r="C140" s="91">
        <f t="shared" si="27"/>
        <v>3078.0069899707828</v>
      </c>
    </row>
    <row r="141" spans="1:3" x14ac:dyDescent="0.25">
      <c r="A141" s="77">
        <v>63</v>
      </c>
      <c r="B141" s="56" t="s">
        <v>270</v>
      </c>
      <c r="C141" s="91">
        <f t="shared" si="27"/>
        <v>17213.722034307808</v>
      </c>
    </row>
    <row r="142" spans="1:3" x14ac:dyDescent="0.25">
      <c r="A142" s="77">
        <v>66</v>
      </c>
      <c r="B142" s="90" t="s">
        <v>272</v>
      </c>
      <c r="C142" s="91">
        <f t="shared" si="27"/>
        <v>6997.1939878016401</v>
      </c>
    </row>
    <row r="143" spans="1:3" x14ac:dyDescent="0.25">
      <c r="A143" s="77">
        <v>67</v>
      </c>
      <c r="B143" s="90" t="s">
        <v>273</v>
      </c>
      <c r="C143" s="91">
        <f t="shared" ref="C143" si="28">C66*L66</f>
        <v>5383.4034318478161</v>
      </c>
    </row>
    <row r="144" spans="1:3" x14ac:dyDescent="0.25">
      <c r="A144" s="77">
        <v>68</v>
      </c>
      <c r="B144" s="90" t="s">
        <v>274</v>
      </c>
      <c r="C144" s="91">
        <f t="shared" ref="C144:C152" si="29">C67*L67</f>
        <v>6997.1939878016401</v>
      </c>
    </row>
    <row r="145" spans="1:3" x14ac:dyDescent="0.25">
      <c r="A145" s="77">
        <v>69</v>
      </c>
      <c r="B145" s="90" t="s">
        <v>275</v>
      </c>
      <c r="C145" s="91">
        <f t="shared" si="29"/>
        <v>6997.1939878016401</v>
      </c>
    </row>
    <row r="146" spans="1:3" x14ac:dyDescent="0.25">
      <c r="A146" s="77">
        <v>70</v>
      </c>
      <c r="B146" s="90" t="s">
        <v>276</v>
      </c>
      <c r="C146" s="91">
        <f t="shared" si="29"/>
        <v>6997.1939878016401</v>
      </c>
    </row>
    <row r="147" spans="1:3" x14ac:dyDescent="0.25">
      <c r="A147" s="77">
        <v>71</v>
      </c>
      <c r="B147" s="90" t="s">
        <v>277</v>
      </c>
      <c r="C147" s="91">
        <f t="shared" si="29"/>
        <v>6997.1939878016401</v>
      </c>
    </row>
    <row r="148" spans="1:3" x14ac:dyDescent="0.25">
      <c r="A148" s="77">
        <v>73</v>
      </c>
      <c r="B148" s="56" t="s">
        <v>288</v>
      </c>
      <c r="C148" s="63">
        <f t="shared" si="29"/>
        <v>150</v>
      </c>
    </row>
    <row r="149" spans="1:3" x14ac:dyDescent="0.25">
      <c r="A149" s="77">
        <v>74</v>
      </c>
      <c r="B149" s="56" t="s">
        <v>294</v>
      </c>
      <c r="C149" s="63">
        <f t="shared" si="29"/>
        <v>21423.398717929427</v>
      </c>
    </row>
    <row r="150" spans="1:3" x14ac:dyDescent="0.25">
      <c r="A150" s="77">
        <v>75</v>
      </c>
      <c r="B150" s="56" t="s">
        <v>292</v>
      </c>
      <c r="C150" s="63">
        <f t="shared" si="29"/>
        <v>34196.571805940141</v>
      </c>
    </row>
    <row r="151" spans="1:3" x14ac:dyDescent="0.25">
      <c r="A151" s="77">
        <v>76</v>
      </c>
      <c r="B151" s="56" t="s">
        <v>293</v>
      </c>
      <c r="C151" s="63">
        <f t="shared" si="29"/>
        <v>37323.538482791904</v>
      </c>
    </row>
    <row r="152" spans="1:3" x14ac:dyDescent="0.25">
      <c r="A152" s="77">
        <v>77</v>
      </c>
      <c r="B152" s="56" t="s">
        <v>296</v>
      </c>
      <c r="C152" s="63">
        <f t="shared" si="29"/>
        <v>6170.4523213474367</v>
      </c>
    </row>
    <row r="153" spans="1:3" x14ac:dyDescent="0.25">
      <c r="B153" s="79"/>
      <c r="C153" s="82"/>
    </row>
    <row r="154" spans="1:3" x14ac:dyDescent="0.25">
      <c r="A154" s="78"/>
      <c r="B154" s="79"/>
      <c r="C154" s="82"/>
    </row>
    <row r="155" spans="1:3" x14ac:dyDescent="0.25">
      <c r="A155" s="78"/>
      <c r="B155" s="79"/>
      <c r="C155" s="82"/>
    </row>
    <row r="156" spans="1:3" x14ac:dyDescent="0.25">
      <c r="A156" s="225" t="s">
        <v>109</v>
      </c>
      <c r="B156" s="226"/>
      <c r="C156" s="227"/>
    </row>
    <row r="157" spans="1:3" x14ac:dyDescent="0.25">
      <c r="A157" s="73" t="s">
        <v>13</v>
      </c>
      <c r="B157" s="74" t="s">
        <v>0</v>
      </c>
      <c r="C157" s="74" t="s">
        <v>99</v>
      </c>
    </row>
    <row r="158" spans="1:3" x14ac:dyDescent="0.25">
      <c r="A158" s="53">
        <v>1</v>
      </c>
      <c r="B158" s="55" t="s">
        <v>136</v>
      </c>
      <c r="C158" s="54">
        <f t="shared" ref="C158" si="30">D2*L2</f>
        <v>4924.4841411127027</v>
      </c>
    </row>
    <row r="159" spans="1:3" x14ac:dyDescent="0.25">
      <c r="A159" s="53">
        <v>2</v>
      </c>
      <c r="B159" s="55" t="s">
        <v>142</v>
      </c>
      <c r="C159" s="54">
        <f t="shared" ref="C159:C166" si="31">D3*L3</f>
        <v>4604.1425603950574</v>
      </c>
    </row>
    <row r="160" spans="1:3" x14ac:dyDescent="0.25">
      <c r="A160" s="53">
        <v>3</v>
      </c>
      <c r="B160" s="56" t="s">
        <v>143</v>
      </c>
      <c r="C160" s="54">
        <f t="shared" si="31"/>
        <v>5437.8884274727006</v>
      </c>
    </row>
    <row r="161" spans="1:3" x14ac:dyDescent="0.25">
      <c r="A161" s="53">
        <v>4</v>
      </c>
      <c r="B161" s="56" t="s">
        <v>146</v>
      </c>
      <c r="C161" s="54">
        <f t="shared" si="31"/>
        <v>5117.5468467550545</v>
      </c>
    </row>
    <row r="162" spans="1:3" x14ac:dyDescent="0.25">
      <c r="A162" s="53">
        <v>5</v>
      </c>
      <c r="B162" s="56" t="s">
        <v>147</v>
      </c>
      <c r="C162" s="54">
        <f t="shared" si="31"/>
        <v>5739.1221071907466</v>
      </c>
    </row>
    <row r="163" spans="1:3" x14ac:dyDescent="0.25">
      <c r="A163" s="57">
        <v>6</v>
      </c>
      <c r="B163" s="56" t="s">
        <v>152</v>
      </c>
      <c r="C163" s="61">
        <f t="shared" si="31"/>
        <v>4049.6404721861722</v>
      </c>
    </row>
    <row r="164" spans="1:3" x14ac:dyDescent="0.25">
      <c r="A164" s="57">
        <v>7</v>
      </c>
      <c r="B164" s="56" t="s">
        <v>155</v>
      </c>
      <c r="C164" s="61">
        <f t="shared" si="31"/>
        <v>3828.6777282564281</v>
      </c>
    </row>
    <row r="165" spans="1:3" x14ac:dyDescent="0.25">
      <c r="A165" s="57">
        <v>8</v>
      </c>
      <c r="B165" s="62" t="s">
        <v>157</v>
      </c>
      <c r="C165" s="63">
        <f t="shared" si="31"/>
        <v>4009.0882172775896</v>
      </c>
    </row>
    <row r="166" spans="1:3" x14ac:dyDescent="0.25">
      <c r="A166" s="57">
        <v>9</v>
      </c>
      <c r="B166" s="62" t="s">
        <v>159</v>
      </c>
      <c r="C166" s="61">
        <f t="shared" si="31"/>
        <v>4428.0770394241863</v>
      </c>
    </row>
    <row r="167" spans="1:3" x14ac:dyDescent="0.25">
      <c r="A167" s="57">
        <v>10</v>
      </c>
      <c r="B167" s="62" t="s">
        <v>160</v>
      </c>
      <c r="C167" s="83">
        <f>L11*D11</f>
        <v>4847.0658615707835</v>
      </c>
    </row>
    <row r="168" spans="1:3" x14ac:dyDescent="0.25">
      <c r="A168" s="57">
        <v>11</v>
      </c>
      <c r="B168" s="62" t="s">
        <v>163</v>
      </c>
      <c r="C168" s="83">
        <f t="shared" ref="C168" si="32">D12*L12</f>
        <v>3688.746941731993</v>
      </c>
    </row>
    <row r="169" spans="1:3" x14ac:dyDescent="0.25">
      <c r="A169" s="57">
        <v>12</v>
      </c>
      <c r="B169" s="62" t="s">
        <v>164</v>
      </c>
      <c r="C169" s="83">
        <f t="shared" ref="C169:C185" si="33">D13*L13</f>
        <v>4107.7357638785907</v>
      </c>
    </row>
    <row r="170" spans="1:3" x14ac:dyDescent="0.25">
      <c r="A170" s="57">
        <v>13</v>
      </c>
      <c r="B170" s="62" t="s">
        <v>166</v>
      </c>
      <c r="C170" s="61">
        <f t="shared" si="33"/>
        <v>4526.724586025186</v>
      </c>
    </row>
    <row r="171" spans="1:3" x14ac:dyDescent="0.25">
      <c r="A171" s="67">
        <v>14</v>
      </c>
      <c r="B171" s="62" t="s">
        <v>167</v>
      </c>
      <c r="C171" s="68">
        <f t="shared" si="33"/>
        <v>4069.7799363818767</v>
      </c>
    </row>
    <row r="172" spans="1:3" x14ac:dyDescent="0.25">
      <c r="A172" s="67">
        <v>15</v>
      </c>
      <c r="B172" s="62" t="s">
        <v>168</v>
      </c>
      <c r="C172" s="68">
        <f t="shared" si="33"/>
        <v>4558.7949589292948</v>
      </c>
    </row>
    <row r="173" spans="1:3" x14ac:dyDescent="0.25">
      <c r="A173" s="67">
        <v>16</v>
      </c>
      <c r="B173" s="62" t="s">
        <v>169</v>
      </c>
      <c r="C173" s="68">
        <f t="shared" si="33"/>
        <v>5047.8099814767111</v>
      </c>
    </row>
    <row r="174" spans="1:3" x14ac:dyDescent="0.25">
      <c r="A174" s="67">
        <v>17</v>
      </c>
      <c r="B174" s="62" t="s">
        <v>170</v>
      </c>
      <c r="C174" s="68">
        <f t="shared" si="33"/>
        <v>4813.9415298790846</v>
      </c>
    </row>
    <row r="175" spans="1:3" x14ac:dyDescent="0.25">
      <c r="A175" s="67">
        <v>18</v>
      </c>
      <c r="B175" s="62" t="s">
        <v>177</v>
      </c>
      <c r="C175" s="68">
        <f t="shared" si="33"/>
        <v>5024.1507546134781</v>
      </c>
    </row>
    <row r="176" spans="1:3" x14ac:dyDescent="0.25">
      <c r="A176" s="67">
        <v>19</v>
      </c>
      <c r="B176" s="62" t="s">
        <v>179</v>
      </c>
      <c r="C176" s="68">
        <f t="shared" si="33"/>
        <v>4277.9387877232175</v>
      </c>
    </row>
    <row r="177" spans="1:3" x14ac:dyDescent="0.25">
      <c r="A177" s="67">
        <v>20</v>
      </c>
      <c r="B177" s="62" t="s">
        <v>182</v>
      </c>
      <c r="C177" s="68">
        <f t="shared" si="33"/>
        <v>4719.6527020285985</v>
      </c>
    </row>
    <row r="178" spans="1:3" x14ac:dyDescent="0.25">
      <c r="A178" s="67">
        <v>21</v>
      </c>
      <c r="B178" s="62" t="s">
        <v>187</v>
      </c>
      <c r="C178" s="68">
        <f t="shared" si="33"/>
        <v>3978.0289233117987</v>
      </c>
    </row>
    <row r="179" spans="1:3" x14ac:dyDescent="0.25">
      <c r="A179" s="67">
        <v>22</v>
      </c>
      <c r="B179" s="62" t="s">
        <v>208</v>
      </c>
      <c r="C179" s="68">
        <f t="shared" si="33"/>
        <v>5634.5079175173214</v>
      </c>
    </row>
    <row r="180" spans="1:3" x14ac:dyDescent="0.25">
      <c r="A180" s="67">
        <v>23</v>
      </c>
      <c r="B180" s="62" t="s">
        <v>209</v>
      </c>
      <c r="C180" s="68">
        <f t="shared" si="33"/>
        <v>6474.3460472912147</v>
      </c>
    </row>
    <row r="181" spans="1:3" x14ac:dyDescent="0.25">
      <c r="A181" s="67">
        <v>24</v>
      </c>
      <c r="B181" s="62" t="s">
        <v>193</v>
      </c>
      <c r="C181" s="68">
        <f t="shared" si="33"/>
        <v>4665.1315658092617</v>
      </c>
    </row>
    <row r="182" spans="1:3" x14ac:dyDescent="0.25">
      <c r="A182" s="67">
        <v>25</v>
      </c>
      <c r="B182" s="64" t="s">
        <v>291</v>
      </c>
      <c r="C182" s="68">
        <f t="shared" si="33"/>
        <v>3662.3252005634886</v>
      </c>
    </row>
    <row r="183" spans="1:3" x14ac:dyDescent="0.25">
      <c r="A183" s="67">
        <v>26</v>
      </c>
      <c r="B183" s="62" t="s">
        <v>199</v>
      </c>
      <c r="C183" s="68">
        <f t="shared" si="33"/>
        <v>5288.9061393787406</v>
      </c>
    </row>
    <row r="184" spans="1:3" x14ac:dyDescent="0.25">
      <c r="A184" s="67">
        <v>27</v>
      </c>
      <c r="B184" s="62" t="s">
        <v>200</v>
      </c>
      <c r="C184" s="68">
        <f t="shared" si="33"/>
        <v>7426.7387289798635</v>
      </c>
    </row>
    <row r="185" spans="1:3" x14ac:dyDescent="0.25">
      <c r="A185" s="67">
        <v>28</v>
      </c>
      <c r="B185" s="62" t="s">
        <v>203</v>
      </c>
      <c r="C185" s="68">
        <f t="shared" si="33"/>
        <v>5190.7889325271808</v>
      </c>
    </row>
    <row r="186" spans="1:3" x14ac:dyDescent="0.25">
      <c r="A186" s="67">
        <v>29</v>
      </c>
      <c r="B186" s="62" t="s">
        <v>204</v>
      </c>
      <c r="C186" s="68">
        <f>C30*L30</f>
        <v>8127.6991004514039</v>
      </c>
    </row>
    <row r="187" spans="1:3" x14ac:dyDescent="0.25">
      <c r="A187" s="67">
        <v>30</v>
      </c>
      <c r="B187" s="62" t="s">
        <v>206</v>
      </c>
      <c r="C187" s="68">
        <f t="shared" ref="C187" si="34">D31*L31</f>
        <v>9179.0673120562733</v>
      </c>
    </row>
    <row r="188" spans="1:3" x14ac:dyDescent="0.25">
      <c r="A188" s="67">
        <v>31</v>
      </c>
      <c r="B188" s="56" t="s">
        <v>184</v>
      </c>
      <c r="C188" s="68">
        <f t="shared" ref="C188:C205" si="35">D32*L32</f>
        <v>4495.111301569671</v>
      </c>
    </row>
    <row r="189" spans="1:3" x14ac:dyDescent="0.25">
      <c r="A189" s="67">
        <v>32</v>
      </c>
      <c r="B189" s="56" t="s">
        <v>185</v>
      </c>
      <c r="C189" s="68">
        <f t="shared" si="35"/>
        <v>4167.9971173439153</v>
      </c>
    </row>
    <row r="190" spans="1:3" x14ac:dyDescent="0.25">
      <c r="A190" s="67">
        <v>33</v>
      </c>
      <c r="B190" s="56" t="s">
        <v>186</v>
      </c>
      <c r="C190" s="68">
        <f t="shared" si="35"/>
        <v>4890.6036049445574</v>
      </c>
    </row>
    <row r="191" spans="1:3" x14ac:dyDescent="0.25">
      <c r="A191" s="67">
        <v>34</v>
      </c>
      <c r="B191" s="56" t="s">
        <v>210</v>
      </c>
      <c r="C191" s="68">
        <f t="shared" si="35"/>
        <v>9452.9595057152401</v>
      </c>
    </row>
    <row r="192" spans="1:3" x14ac:dyDescent="0.25">
      <c r="A192" s="67">
        <v>35</v>
      </c>
      <c r="B192" s="56" t="s">
        <v>215</v>
      </c>
      <c r="C192" s="68">
        <f t="shared" si="35"/>
        <v>3800.1020212967842</v>
      </c>
    </row>
    <row r="193" spans="1:3" x14ac:dyDescent="0.25">
      <c r="A193" s="67">
        <v>36</v>
      </c>
      <c r="B193" s="56" t="s">
        <v>218</v>
      </c>
      <c r="C193" s="68">
        <f t="shared" si="35"/>
        <v>3715.2000711007804</v>
      </c>
    </row>
    <row r="194" spans="1:3" x14ac:dyDescent="0.25">
      <c r="A194" s="67">
        <v>37</v>
      </c>
      <c r="B194" s="56" t="s">
        <v>219</v>
      </c>
      <c r="C194" s="68">
        <f t="shared" si="35"/>
        <v>4419.2053594796871</v>
      </c>
    </row>
    <row r="195" spans="1:3" x14ac:dyDescent="0.25">
      <c r="A195" s="67">
        <v>38</v>
      </c>
      <c r="B195" s="66" t="s">
        <v>220</v>
      </c>
      <c r="C195" s="68">
        <f t="shared" si="35"/>
        <v>6023.0546237961762</v>
      </c>
    </row>
    <row r="196" spans="1:3" x14ac:dyDescent="0.25">
      <c r="A196" s="67">
        <v>39</v>
      </c>
      <c r="B196" s="66" t="s">
        <v>223</v>
      </c>
      <c r="C196" s="68">
        <f t="shared" si="35"/>
        <v>7114.6908823473605</v>
      </c>
    </row>
    <row r="197" spans="1:3" x14ac:dyDescent="0.25">
      <c r="A197" s="67">
        <v>40</v>
      </c>
      <c r="B197" s="56" t="s">
        <v>224</v>
      </c>
      <c r="C197" s="68">
        <f t="shared" si="35"/>
        <v>4341.003795627752</v>
      </c>
    </row>
    <row r="198" spans="1:3" x14ac:dyDescent="0.25">
      <c r="A198" s="67">
        <v>41</v>
      </c>
      <c r="B198" s="56" t="s">
        <v>228</v>
      </c>
      <c r="C198" s="68">
        <f t="shared" si="35"/>
        <v>4568.6048307700548</v>
      </c>
    </row>
    <row r="199" spans="1:3" x14ac:dyDescent="0.25">
      <c r="A199" s="67">
        <v>42</v>
      </c>
      <c r="B199" s="56" t="s">
        <v>231</v>
      </c>
      <c r="C199" s="68">
        <f t="shared" si="35"/>
        <v>5154.8425797198997</v>
      </c>
    </row>
    <row r="200" spans="1:3" x14ac:dyDescent="0.25">
      <c r="A200" s="67">
        <v>43</v>
      </c>
      <c r="B200" s="56" t="s">
        <v>154</v>
      </c>
      <c r="C200" s="68">
        <f t="shared" si="35"/>
        <v>4528.1649643434303</v>
      </c>
    </row>
    <row r="201" spans="1:3" x14ac:dyDescent="0.25">
      <c r="A201" s="67">
        <v>44</v>
      </c>
      <c r="B201" s="56" t="s">
        <v>156</v>
      </c>
      <c r="C201" s="68">
        <f t="shared" si="35"/>
        <v>4307.2021965256245</v>
      </c>
    </row>
    <row r="202" spans="1:3" x14ac:dyDescent="0.25">
      <c r="A202" s="67">
        <v>45</v>
      </c>
      <c r="B202" s="56" t="s">
        <v>232</v>
      </c>
      <c r="C202" s="68">
        <f t="shared" si="35"/>
        <v>4470.7456559167522</v>
      </c>
    </row>
    <row r="203" spans="1:3" x14ac:dyDescent="0.25">
      <c r="A203" s="67">
        <v>46</v>
      </c>
      <c r="B203" s="56" t="s">
        <v>234</v>
      </c>
      <c r="C203" s="68">
        <f t="shared" si="35"/>
        <v>4656.6003742930388</v>
      </c>
    </row>
    <row r="204" spans="1:3" x14ac:dyDescent="0.25">
      <c r="A204" s="67">
        <v>47</v>
      </c>
      <c r="B204" s="56" t="s">
        <v>237</v>
      </c>
      <c r="C204" s="68">
        <f t="shared" si="35"/>
        <v>4051.756423777515</v>
      </c>
    </row>
    <row r="205" spans="1:3" x14ac:dyDescent="0.25">
      <c r="A205" s="67">
        <v>48</v>
      </c>
      <c r="B205" s="56" t="s">
        <v>240</v>
      </c>
      <c r="C205" s="68">
        <f t="shared" si="35"/>
        <v>6373.3980076049138</v>
      </c>
    </row>
    <row r="206" spans="1:3" x14ac:dyDescent="0.25">
      <c r="A206" s="67">
        <v>49</v>
      </c>
      <c r="B206" s="56" t="s">
        <v>243</v>
      </c>
      <c r="C206" s="68">
        <f>L50</f>
        <v>4659.9160265568589</v>
      </c>
    </row>
    <row r="207" spans="1:3" x14ac:dyDescent="0.25">
      <c r="A207" s="67">
        <v>50</v>
      </c>
      <c r="B207" s="56" t="s">
        <v>245</v>
      </c>
      <c r="C207" s="68">
        <f t="shared" ref="C207" si="36">D51*L51</f>
        <v>5732.5949064922097</v>
      </c>
    </row>
    <row r="208" spans="1:3" x14ac:dyDescent="0.25">
      <c r="A208" s="67">
        <v>51</v>
      </c>
      <c r="B208" s="56" t="s">
        <v>248</v>
      </c>
      <c r="C208" s="68">
        <f t="shared" ref="C208:C221" si="37">D52*L52</f>
        <v>4799.4300055970707</v>
      </c>
    </row>
    <row r="209" spans="1:3" x14ac:dyDescent="0.25">
      <c r="A209" s="67">
        <v>52</v>
      </c>
      <c r="B209" s="56" t="s">
        <v>251</v>
      </c>
      <c r="C209" s="68">
        <f t="shared" si="37"/>
        <v>6788.8176182620782</v>
      </c>
    </row>
    <row r="210" spans="1:3" x14ac:dyDescent="0.25">
      <c r="A210" s="67">
        <v>53</v>
      </c>
      <c r="B210" s="90" t="s">
        <v>255</v>
      </c>
      <c r="C210" s="68">
        <f t="shared" si="37"/>
        <v>6129.8931523538467</v>
      </c>
    </row>
    <row r="211" spans="1:3" x14ac:dyDescent="0.25">
      <c r="A211" s="67">
        <v>54</v>
      </c>
      <c r="B211" s="90" t="s">
        <v>256</v>
      </c>
      <c r="C211" s="68">
        <f t="shared" si="37"/>
        <v>6895.7078476760053</v>
      </c>
    </row>
    <row r="212" spans="1:3" x14ac:dyDescent="0.25">
      <c r="A212" s="67">
        <v>55</v>
      </c>
      <c r="B212" s="56" t="s">
        <v>257</v>
      </c>
      <c r="C212" s="68">
        <f t="shared" si="37"/>
        <v>9520.0573183156685</v>
      </c>
    </row>
    <row r="213" spans="1:3" x14ac:dyDescent="0.25">
      <c r="A213" s="67">
        <v>56</v>
      </c>
      <c r="B213" s="56" t="s">
        <v>259</v>
      </c>
      <c r="C213" s="68">
        <f t="shared" si="37"/>
        <v>6004.99186835398</v>
      </c>
    </row>
    <row r="214" spans="1:3" x14ac:dyDescent="0.25">
      <c r="A214" s="67">
        <v>57</v>
      </c>
      <c r="B214" s="56" t="s">
        <v>260</v>
      </c>
      <c r="C214" s="68">
        <f t="shared" si="37"/>
        <v>6528.4140588464725</v>
      </c>
    </row>
    <row r="215" spans="1:3" x14ac:dyDescent="0.25">
      <c r="A215" s="67">
        <v>58</v>
      </c>
      <c r="B215" s="56" t="s">
        <v>263</v>
      </c>
      <c r="C215" s="68">
        <f t="shared" si="37"/>
        <v>6642.66380209822</v>
      </c>
    </row>
    <row r="216" spans="1:3" x14ac:dyDescent="0.25">
      <c r="A216" s="67">
        <v>59</v>
      </c>
      <c r="B216" s="56" t="s">
        <v>265</v>
      </c>
      <c r="C216" s="68">
        <f t="shared" si="37"/>
        <v>7402.758382794831</v>
      </c>
    </row>
    <row r="217" spans="1:3" x14ac:dyDescent="0.25">
      <c r="A217" s="67">
        <v>60</v>
      </c>
      <c r="B217" s="56" t="s">
        <v>267</v>
      </c>
      <c r="C217" s="68">
        <f t="shared" si="37"/>
        <v>12189.700336319773</v>
      </c>
    </row>
    <row r="218" spans="1:3" x14ac:dyDescent="0.25">
      <c r="A218" s="67">
        <v>61</v>
      </c>
      <c r="B218" s="56" t="s">
        <v>267</v>
      </c>
      <c r="C218" s="68">
        <f t="shared" si="37"/>
        <v>22525.803841224486</v>
      </c>
    </row>
    <row r="219" spans="1:3" x14ac:dyDescent="0.25">
      <c r="A219" s="67">
        <v>62</v>
      </c>
      <c r="B219" s="56" t="s">
        <v>278</v>
      </c>
      <c r="C219" s="68">
        <f t="shared" si="37"/>
        <v>3078.0069899707828</v>
      </c>
    </row>
    <row r="220" spans="1:3" x14ac:dyDescent="0.25">
      <c r="A220" s="67">
        <v>63</v>
      </c>
      <c r="B220" s="56" t="s">
        <v>270</v>
      </c>
      <c r="C220" s="68">
        <f t="shared" si="37"/>
        <v>17213.722034307808</v>
      </c>
    </row>
    <row r="221" spans="1:3" x14ac:dyDescent="0.25">
      <c r="A221" s="77">
        <v>66</v>
      </c>
      <c r="B221" s="56" t="s">
        <v>272</v>
      </c>
      <c r="C221" s="61">
        <f t="shared" si="37"/>
        <v>6997.1939878016401</v>
      </c>
    </row>
    <row r="222" spans="1:3" x14ac:dyDescent="0.25">
      <c r="A222" s="77">
        <v>67</v>
      </c>
      <c r="B222" s="56" t="s">
        <v>273</v>
      </c>
      <c r="C222" s="61">
        <f t="shared" ref="C222" si="38">D66*L66</f>
        <v>5383.4034318478161</v>
      </c>
    </row>
    <row r="223" spans="1:3" x14ac:dyDescent="0.25">
      <c r="A223" s="77">
        <v>68</v>
      </c>
      <c r="B223" s="56" t="s">
        <v>274</v>
      </c>
      <c r="C223" s="61">
        <f t="shared" ref="C223:C231" si="39">D67*L67</f>
        <v>6997.1939878016401</v>
      </c>
    </row>
    <row r="224" spans="1:3" x14ac:dyDescent="0.25">
      <c r="A224" s="77">
        <v>69</v>
      </c>
      <c r="B224" s="56" t="s">
        <v>275</v>
      </c>
      <c r="C224" s="61">
        <f t="shared" si="39"/>
        <v>6997.1939878016401</v>
      </c>
    </row>
    <row r="225" spans="1:3" x14ac:dyDescent="0.25">
      <c r="A225" s="77">
        <v>70</v>
      </c>
      <c r="B225" s="56" t="s">
        <v>276</v>
      </c>
      <c r="C225" s="61">
        <f t="shared" si="39"/>
        <v>6997.1939878016401</v>
      </c>
    </row>
    <row r="226" spans="1:3" x14ac:dyDescent="0.25">
      <c r="A226" s="77">
        <v>71</v>
      </c>
      <c r="B226" s="56" t="s">
        <v>277</v>
      </c>
      <c r="C226" s="61">
        <f t="shared" si="39"/>
        <v>6997.1939878016401</v>
      </c>
    </row>
    <row r="227" spans="1:3" x14ac:dyDescent="0.25">
      <c r="A227" s="77">
        <v>73</v>
      </c>
      <c r="B227" s="56" t="s">
        <v>288</v>
      </c>
      <c r="C227" s="61">
        <f t="shared" si="39"/>
        <v>150</v>
      </c>
    </row>
    <row r="228" spans="1:3" x14ac:dyDescent="0.25">
      <c r="A228" s="77">
        <v>74</v>
      </c>
      <c r="B228" s="56" t="s">
        <v>294</v>
      </c>
      <c r="C228" s="93">
        <f t="shared" si="39"/>
        <v>21423.398717929427</v>
      </c>
    </row>
    <row r="229" spans="1:3" x14ac:dyDescent="0.25">
      <c r="A229" s="77">
        <v>75</v>
      </c>
      <c r="B229" s="56" t="s">
        <v>292</v>
      </c>
      <c r="C229" s="93">
        <f t="shared" si="39"/>
        <v>34196.571805940141</v>
      </c>
    </row>
    <row r="230" spans="1:3" x14ac:dyDescent="0.25">
      <c r="A230" s="77">
        <v>76</v>
      </c>
      <c r="B230" s="56" t="s">
        <v>293</v>
      </c>
      <c r="C230" s="93">
        <f t="shared" si="39"/>
        <v>37323.538482791904</v>
      </c>
    </row>
    <row r="231" spans="1:3" ht="15.75" thickBot="1" x14ac:dyDescent="0.3">
      <c r="A231" s="77">
        <v>77</v>
      </c>
      <c r="B231" s="56" t="s">
        <v>296</v>
      </c>
      <c r="C231" s="93">
        <f t="shared" si="39"/>
        <v>6170.4523213474367</v>
      </c>
    </row>
  </sheetData>
  <mergeCells count="2">
    <mergeCell ref="A77:C77"/>
    <mergeCell ref="A156:C156"/>
  </mergeCells>
  <pageMargins left="0.511811024" right="0.511811024" top="0.78740157499999996" bottom="0.78740157499999996" header="0.31496062000000002" footer="0.31496062000000002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07"/>
  <sheetViews>
    <sheetView topLeftCell="A76" workbookViewId="0">
      <selection activeCell="H89" sqref="H89:J89"/>
    </sheetView>
  </sheetViews>
  <sheetFormatPr defaultRowHeight="15" x14ac:dyDescent="0.25"/>
  <cols>
    <col min="1" max="1" width="2.28515625" bestFit="1" customWidth="1"/>
    <col min="2" max="2" width="2" bestFit="1" customWidth="1"/>
    <col min="3" max="3" width="3.140625" customWidth="1"/>
    <col min="4" max="4" width="55.140625" customWidth="1"/>
    <col min="5" max="5" width="3.5703125" customWidth="1"/>
    <col min="6" max="6" width="0.85546875" customWidth="1"/>
    <col min="7" max="7" width="4.42578125" customWidth="1"/>
    <col min="8" max="8" width="6.28515625" customWidth="1"/>
    <col min="9" max="9" width="4.140625" customWidth="1"/>
  </cols>
  <sheetData>
    <row r="1" spans="1:10" ht="46.5" customHeight="1" thickBot="1" x14ac:dyDescent="0.3">
      <c r="A1" s="228" t="s">
        <v>23</v>
      </c>
      <c r="B1" s="229"/>
      <c r="C1" s="229"/>
      <c r="D1" s="229"/>
      <c r="E1" s="229"/>
      <c r="F1" s="229"/>
      <c r="G1" s="229"/>
      <c r="H1" s="229"/>
      <c r="I1" s="229"/>
      <c r="J1" s="230"/>
    </row>
    <row r="2" spans="1:10" x14ac:dyDescent="0.25">
      <c r="A2" s="235" t="s">
        <v>16</v>
      </c>
      <c r="B2" s="235"/>
      <c r="C2" s="235"/>
      <c r="D2" s="235"/>
      <c r="E2" s="233"/>
      <c r="F2" s="233"/>
      <c r="G2" s="233"/>
      <c r="H2" s="233"/>
      <c r="I2" s="233"/>
      <c r="J2" s="233"/>
    </row>
    <row r="3" spans="1:10" x14ac:dyDescent="0.25">
      <c r="A3" s="236" t="s">
        <v>17</v>
      </c>
      <c r="B3" s="236"/>
      <c r="C3" s="236"/>
      <c r="D3" s="236"/>
      <c r="E3" s="234"/>
      <c r="F3" s="234"/>
      <c r="G3" s="234"/>
      <c r="H3" s="234"/>
      <c r="I3" s="234"/>
      <c r="J3" s="234"/>
    </row>
    <row r="4" spans="1:10" x14ac:dyDescent="0.25">
      <c r="A4" s="236" t="s">
        <v>18</v>
      </c>
      <c r="B4" s="236"/>
      <c r="C4" s="236"/>
      <c r="D4" s="236"/>
      <c r="E4" s="234"/>
      <c r="F4" s="234"/>
      <c r="G4" s="234"/>
      <c r="H4" s="234"/>
      <c r="I4" s="234"/>
      <c r="J4" s="234"/>
    </row>
    <row r="5" spans="1:10" x14ac:dyDescent="0.25">
      <c r="A5" s="236" t="s">
        <v>19</v>
      </c>
      <c r="B5" s="236"/>
      <c r="C5" s="236"/>
      <c r="D5" s="236"/>
      <c r="E5" s="234"/>
      <c r="F5" s="234"/>
      <c r="G5" s="234"/>
      <c r="H5" s="234"/>
      <c r="I5" s="234"/>
      <c r="J5" s="234"/>
    </row>
    <row r="6" spans="1:10" ht="33" customHeight="1" x14ac:dyDescent="0.25">
      <c r="A6" s="238" t="s">
        <v>20</v>
      </c>
      <c r="B6" s="238"/>
      <c r="C6" s="238"/>
      <c r="D6" s="238"/>
      <c r="E6" s="238"/>
      <c r="F6" s="238"/>
      <c r="G6" s="234"/>
      <c r="H6" s="234"/>
      <c r="I6" s="234"/>
      <c r="J6" s="234"/>
    </row>
    <row r="7" spans="1:10" x14ac:dyDescent="0.25">
      <c r="A7" s="236" t="s">
        <v>21</v>
      </c>
      <c r="B7" s="236"/>
      <c r="C7" s="236"/>
      <c r="D7" s="236"/>
      <c r="E7" s="236"/>
      <c r="F7" s="236"/>
      <c r="G7" s="234"/>
      <c r="H7" s="234"/>
      <c r="I7" s="234"/>
      <c r="J7" s="234"/>
    </row>
    <row r="8" spans="1:10" ht="15" customHeight="1" x14ac:dyDescent="0.25">
      <c r="A8" s="232"/>
      <c r="B8" s="232"/>
      <c r="C8" s="232"/>
      <c r="D8" s="232"/>
      <c r="E8" s="232"/>
      <c r="F8" s="232"/>
      <c r="G8" s="232"/>
      <c r="H8" s="232"/>
      <c r="I8" s="232"/>
      <c r="J8" s="232"/>
    </row>
    <row r="9" spans="1:10" x14ac:dyDescent="0.25">
      <c r="A9" s="231" t="s">
        <v>0</v>
      </c>
      <c r="B9" s="231"/>
      <c r="C9" s="231"/>
      <c r="D9" s="231"/>
      <c r="E9" s="231"/>
      <c r="F9" s="231"/>
      <c r="G9" s="232"/>
      <c r="H9" s="232"/>
      <c r="I9" s="232"/>
      <c r="J9" s="232"/>
    </row>
    <row r="10" spans="1:10" x14ac:dyDescent="0.25">
      <c r="A10" s="237"/>
      <c r="B10" s="237"/>
      <c r="C10" s="237"/>
      <c r="D10" s="237"/>
      <c r="E10" s="237"/>
      <c r="F10" s="237"/>
      <c r="G10" s="237"/>
      <c r="H10" s="237"/>
      <c r="I10" s="237"/>
      <c r="J10" s="237"/>
    </row>
    <row r="11" spans="1:10" x14ac:dyDescent="0.25">
      <c r="A11" s="250" t="s">
        <v>22</v>
      </c>
      <c r="B11" s="251"/>
      <c r="C11" s="251"/>
      <c r="D11" s="251"/>
      <c r="E11" s="251"/>
      <c r="F11" s="251"/>
      <c r="G11" s="251"/>
      <c r="H11" s="251"/>
      <c r="I11" s="251"/>
      <c r="J11" s="252"/>
    </row>
    <row r="12" spans="1:10" x14ac:dyDescent="0.25">
      <c r="A12" s="239" t="s">
        <v>30</v>
      </c>
      <c r="B12" s="240"/>
      <c r="C12" s="240"/>
      <c r="D12" s="240"/>
      <c r="E12" s="240"/>
      <c r="F12" s="240"/>
      <c r="G12" s="240"/>
      <c r="H12" s="240"/>
      <c r="I12" s="240"/>
      <c r="J12" s="241"/>
    </row>
    <row r="13" spans="1:10" x14ac:dyDescent="0.25">
      <c r="A13" s="242" t="s">
        <v>31</v>
      </c>
      <c r="B13" s="242"/>
      <c r="C13" s="242"/>
      <c r="D13" s="242"/>
      <c r="E13" s="242"/>
      <c r="F13" s="242"/>
      <c r="G13" s="242"/>
      <c r="H13" s="242"/>
      <c r="I13" s="242"/>
      <c r="J13" s="242"/>
    </row>
    <row r="14" spans="1:10" x14ac:dyDescent="0.25">
      <c r="A14" s="27" t="s">
        <v>2</v>
      </c>
      <c r="B14" s="243" t="s">
        <v>1</v>
      </c>
      <c r="C14" s="244"/>
      <c r="D14" s="245"/>
      <c r="E14" s="246"/>
      <c r="F14" s="242"/>
      <c r="G14" s="242"/>
      <c r="H14" s="242"/>
      <c r="I14" s="242"/>
      <c r="J14" s="242"/>
    </row>
    <row r="15" spans="1:10" x14ac:dyDescent="0.25">
      <c r="A15" s="27" t="s">
        <v>7</v>
      </c>
      <c r="B15" s="243" t="s">
        <v>25</v>
      </c>
      <c r="C15" s="244"/>
      <c r="D15" s="245"/>
      <c r="E15" s="247"/>
      <c r="F15" s="248"/>
      <c r="G15" s="248"/>
      <c r="H15" s="248"/>
      <c r="I15" s="248"/>
      <c r="J15" s="249"/>
    </row>
    <row r="16" spans="1:10" x14ac:dyDescent="0.25">
      <c r="A16" s="27" t="s">
        <v>8</v>
      </c>
      <c r="B16" s="243" t="s">
        <v>26</v>
      </c>
      <c r="C16" s="244"/>
      <c r="D16" s="245"/>
      <c r="E16" s="247"/>
      <c r="F16" s="248"/>
      <c r="G16" s="248"/>
      <c r="H16" s="248"/>
      <c r="I16" s="248"/>
      <c r="J16" s="249"/>
    </row>
    <row r="17" spans="1:10" x14ac:dyDescent="0.25">
      <c r="A17" s="27" t="s">
        <v>9</v>
      </c>
      <c r="B17" s="243" t="s">
        <v>27</v>
      </c>
      <c r="C17" s="244"/>
      <c r="D17" s="245"/>
      <c r="E17" s="247"/>
      <c r="F17" s="248"/>
      <c r="G17" s="248"/>
      <c r="H17" s="248"/>
      <c r="I17" s="248"/>
      <c r="J17" s="249"/>
    </row>
    <row r="18" spans="1:10" x14ac:dyDescent="0.25">
      <c r="A18" s="27" t="s">
        <v>10</v>
      </c>
      <c r="B18" s="243" t="s">
        <v>28</v>
      </c>
      <c r="C18" s="244"/>
      <c r="D18" s="245"/>
      <c r="E18" s="264"/>
      <c r="F18" s="264"/>
      <c r="G18" s="264"/>
      <c r="H18" s="264"/>
      <c r="I18" s="264"/>
      <c r="J18" s="264"/>
    </row>
    <row r="19" spans="1:10" ht="29.25" customHeight="1" x14ac:dyDescent="0.25">
      <c r="A19" s="28" t="s">
        <v>11</v>
      </c>
      <c r="B19" s="253" t="s">
        <v>92</v>
      </c>
      <c r="C19" s="254"/>
      <c r="D19" s="255"/>
      <c r="E19" s="242"/>
      <c r="F19" s="242"/>
      <c r="G19" s="242"/>
      <c r="H19" s="242"/>
      <c r="I19" s="242"/>
      <c r="J19" s="242"/>
    </row>
    <row r="20" spans="1:10" x14ac:dyDescent="0.25">
      <c r="A20" s="256" t="s">
        <v>38</v>
      </c>
      <c r="B20" s="256"/>
      <c r="C20" s="256"/>
      <c r="D20" s="256"/>
      <c r="E20" s="257"/>
      <c r="F20" s="257"/>
      <c r="G20" s="257"/>
      <c r="H20" s="257"/>
      <c r="I20" s="257"/>
      <c r="J20" s="257"/>
    </row>
    <row r="21" spans="1:10" ht="32.25" customHeight="1" x14ac:dyDescent="0.25">
      <c r="A21" s="258" t="s">
        <v>29</v>
      </c>
      <c r="B21" s="259"/>
      <c r="C21" s="259"/>
      <c r="D21" s="260"/>
      <c r="E21" s="261"/>
      <c r="F21" s="262"/>
      <c r="G21" s="262"/>
      <c r="H21" s="262"/>
      <c r="I21" s="262"/>
      <c r="J21" s="263"/>
    </row>
    <row r="22" spans="1:10" x14ac:dyDescent="0.25">
      <c r="A22" s="232"/>
      <c r="B22" s="232"/>
      <c r="C22" s="232"/>
      <c r="D22" s="232"/>
      <c r="E22" s="232"/>
      <c r="F22" s="232"/>
      <c r="G22" s="232"/>
      <c r="H22" s="232"/>
      <c r="I22" s="232"/>
      <c r="J22" s="232"/>
    </row>
    <row r="23" spans="1:10" x14ac:dyDescent="0.25">
      <c r="A23" s="276" t="s">
        <v>32</v>
      </c>
      <c r="B23" s="276"/>
      <c r="C23" s="276"/>
      <c r="D23" s="276"/>
      <c r="E23" s="276"/>
      <c r="F23" s="276"/>
      <c r="G23" s="276"/>
      <c r="H23" s="276"/>
      <c r="I23" s="276"/>
      <c r="J23" s="276"/>
    </row>
    <row r="24" spans="1:10" x14ac:dyDescent="0.25">
      <c r="A24" s="277" t="s">
        <v>33</v>
      </c>
      <c r="B24" s="277"/>
      <c r="C24" s="277"/>
      <c r="D24" s="277"/>
      <c r="E24" s="277"/>
      <c r="F24" s="277"/>
      <c r="G24" s="277"/>
      <c r="H24" s="277"/>
      <c r="I24" s="277"/>
      <c r="J24" s="277"/>
    </row>
    <row r="25" spans="1:10" x14ac:dyDescent="0.25">
      <c r="A25" s="20" t="s">
        <v>2</v>
      </c>
      <c r="B25" s="265" t="s">
        <v>34</v>
      </c>
      <c r="C25" s="266"/>
      <c r="D25" s="267"/>
      <c r="E25" s="278">
        <v>8.3299999999999999E-2</v>
      </c>
      <c r="F25" s="279"/>
      <c r="G25" s="280"/>
      <c r="H25" s="271"/>
      <c r="I25" s="271"/>
      <c r="J25" s="271"/>
    </row>
    <row r="26" spans="1:10" x14ac:dyDescent="0.25">
      <c r="A26" s="20" t="s">
        <v>7</v>
      </c>
      <c r="B26" s="265" t="s">
        <v>35</v>
      </c>
      <c r="C26" s="266"/>
      <c r="D26" s="267"/>
      <c r="E26" s="268">
        <v>0.121</v>
      </c>
      <c r="F26" s="269"/>
      <c r="G26" s="270"/>
      <c r="H26" s="271"/>
      <c r="I26" s="271"/>
      <c r="J26" s="271"/>
    </row>
    <row r="27" spans="1:10" x14ac:dyDescent="0.25">
      <c r="A27" s="272" t="s">
        <v>36</v>
      </c>
      <c r="B27" s="273"/>
      <c r="C27" s="273"/>
      <c r="D27" s="273"/>
      <c r="E27" s="273"/>
      <c r="F27" s="273"/>
      <c r="G27" s="274"/>
      <c r="H27" s="275">
        <f>SUM(H25:J26)</f>
        <v>0</v>
      </c>
      <c r="I27" s="275"/>
      <c r="J27" s="275"/>
    </row>
    <row r="28" spans="1:10" ht="30" customHeight="1" x14ac:dyDescent="0.25">
      <c r="A28" s="21" t="s">
        <v>8</v>
      </c>
      <c r="B28" s="284" t="s">
        <v>37</v>
      </c>
      <c r="C28" s="285"/>
      <c r="D28" s="286"/>
      <c r="E28" s="287">
        <v>7.8200000000000006E-2</v>
      </c>
      <c r="F28" s="288"/>
      <c r="G28" s="289"/>
      <c r="H28" s="290"/>
      <c r="I28" s="291"/>
      <c r="J28" s="292"/>
    </row>
    <row r="29" spans="1:10" x14ac:dyDescent="0.25">
      <c r="A29" s="293" t="s">
        <v>45</v>
      </c>
      <c r="B29" s="294"/>
      <c r="C29" s="294"/>
      <c r="D29" s="294"/>
      <c r="E29" s="294"/>
      <c r="F29" s="294"/>
      <c r="G29" s="294"/>
      <c r="H29" s="294"/>
      <c r="I29" s="294"/>
      <c r="J29" s="295"/>
    </row>
    <row r="30" spans="1:10" x14ac:dyDescent="0.25">
      <c r="A30" s="281" t="s">
        <v>2</v>
      </c>
      <c r="B30" s="282"/>
      <c r="C30" s="296" t="s">
        <v>3</v>
      </c>
      <c r="D30" s="297"/>
      <c r="E30" s="298">
        <v>0.2</v>
      </c>
      <c r="F30" s="298"/>
      <c r="G30" s="298"/>
      <c r="H30" s="257"/>
      <c r="I30" s="257"/>
      <c r="J30" s="257"/>
    </row>
    <row r="31" spans="1:10" x14ac:dyDescent="0.25">
      <c r="A31" s="281" t="s">
        <v>7</v>
      </c>
      <c r="B31" s="282"/>
      <c r="C31" s="281" t="s">
        <v>41</v>
      </c>
      <c r="D31" s="282"/>
      <c r="E31" s="283">
        <v>2.5000000000000001E-2</v>
      </c>
      <c r="F31" s="283"/>
      <c r="G31" s="283"/>
      <c r="H31" s="257"/>
      <c r="I31" s="257"/>
      <c r="J31" s="257"/>
    </row>
    <row r="32" spans="1:10" x14ac:dyDescent="0.25">
      <c r="A32" s="281" t="s">
        <v>8</v>
      </c>
      <c r="B32" s="282"/>
      <c r="C32" s="281" t="s">
        <v>42</v>
      </c>
      <c r="D32" s="282"/>
      <c r="E32" s="283">
        <v>0.01</v>
      </c>
      <c r="F32" s="283"/>
      <c r="G32" s="283"/>
      <c r="H32" s="257"/>
      <c r="I32" s="257"/>
      <c r="J32" s="257"/>
    </row>
    <row r="33" spans="1:10" x14ac:dyDescent="0.25">
      <c r="A33" s="281" t="s">
        <v>9</v>
      </c>
      <c r="B33" s="282"/>
      <c r="C33" s="281" t="s">
        <v>43</v>
      </c>
      <c r="D33" s="282"/>
      <c r="E33" s="283">
        <v>1.4999999999999999E-2</v>
      </c>
      <c r="F33" s="283"/>
      <c r="G33" s="283"/>
      <c r="H33" s="257"/>
      <c r="I33" s="257"/>
      <c r="J33" s="257"/>
    </row>
    <row r="34" spans="1:10" x14ac:dyDescent="0.25">
      <c r="A34" s="281" t="s">
        <v>10</v>
      </c>
      <c r="B34" s="282"/>
      <c r="C34" s="281" t="s">
        <v>44</v>
      </c>
      <c r="D34" s="282"/>
      <c r="E34" s="283">
        <v>0.01</v>
      </c>
      <c r="F34" s="283"/>
      <c r="G34" s="283"/>
      <c r="H34" s="257"/>
      <c r="I34" s="257"/>
      <c r="J34" s="257"/>
    </row>
    <row r="35" spans="1:10" x14ac:dyDescent="0.25">
      <c r="A35" s="281" t="s">
        <v>11</v>
      </c>
      <c r="B35" s="282"/>
      <c r="C35" s="281" t="s">
        <v>6</v>
      </c>
      <c r="D35" s="282"/>
      <c r="E35" s="283">
        <v>6.0000000000000001E-3</v>
      </c>
      <c r="F35" s="283"/>
      <c r="G35" s="283"/>
      <c r="H35" s="257"/>
      <c r="I35" s="257"/>
      <c r="J35" s="257"/>
    </row>
    <row r="36" spans="1:10" x14ac:dyDescent="0.25">
      <c r="A36" s="281" t="s">
        <v>39</v>
      </c>
      <c r="B36" s="282"/>
      <c r="C36" s="281" t="s">
        <v>5</v>
      </c>
      <c r="D36" s="282"/>
      <c r="E36" s="283">
        <v>2E-3</v>
      </c>
      <c r="F36" s="283"/>
      <c r="G36" s="283"/>
      <c r="H36" s="257"/>
      <c r="I36" s="257"/>
      <c r="J36" s="257"/>
    </row>
    <row r="37" spans="1:10" x14ac:dyDescent="0.25">
      <c r="A37" s="281" t="s">
        <v>40</v>
      </c>
      <c r="B37" s="282"/>
      <c r="C37" s="281" t="s">
        <v>4</v>
      </c>
      <c r="D37" s="300"/>
      <c r="E37" s="301">
        <v>0.08</v>
      </c>
      <c r="F37" s="302"/>
      <c r="G37" s="303"/>
      <c r="H37" s="257"/>
      <c r="I37" s="257"/>
      <c r="J37" s="257"/>
    </row>
    <row r="38" spans="1:10" x14ac:dyDescent="0.25">
      <c r="A38" s="256" t="s">
        <v>36</v>
      </c>
      <c r="B38" s="256"/>
      <c r="C38" s="256"/>
      <c r="D38" s="256"/>
      <c r="E38" s="304">
        <f>SUM(E30:G37)</f>
        <v>0.34800000000000003</v>
      </c>
      <c r="F38" s="305"/>
      <c r="G38" s="306"/>
      <c r="H38" s="257"/>
      <c r="I38" s="257"/>
      <c r="J38" s="257"/>
    </row>
    <row r="39" spans="1:10" x14ac:dyDescent="0.25">
      <c r="A39" s="299" t="s">
        <v>48</v>
      </c>
      <c r="B39" s="299"/>
      <c r="C39" s="299"/>
      <c r="D39" s="299"/>
      <c r="E39" s="299"/>
      <c r="F39" s="299"/>
      <c r="G39" s="299"/>
      <c r="H39" s="299"/>
      <c r="I39" s="299"/>
      <c r="J39" s="299"/>
    </row>
    <row r="40" spans="1:10" x14ac:dyDescent="0.25">
      <c r="A40" s="281" t="s">
        <v>2</v>
      </c>
      <c r="B40" s="282"/>
      <c r="C40" s="296" t="s">
        <v>46</v>
      </c>
      <c r="D40" s="297"/>
      <c r="E40" s="298"/>
      <c r="F40" s="298"/>
      <c r="G40" s="298"/>
      <c r="H40" s="257"/>
      <c r="I40" s="257"/>
      <c r="J40" s="257"/>
    </row>
    <row r="41" spans="1:10" x14ac:dyDescent="0.25">
      <c r="A41" s="281" t="s">
        <v>7</v>
      </c>
      <c r="B41" s="282"/>
      <c r="C41" s="281" t="s">
        <v>47</v>
      </c>
      <c r="D41" s="282"/>
      <c r="E41" s="283"/>
      <c r="F41" s="283"/>
      <c r="G41" s="283"/>
      <c r="H41" s="257"/>
      <c r="I41" s="257"/>
      <c r="J41" s="257"/>
    </row>
    <row r="42" spans="1:10" x14ac:dyDescent="0.25">
      <c r="A42" s="281" t="s">
        <v>8</v>
      </c>
      <c r="B42" s="282"/>
      <c r="C42" s="312" t="s">
        <v>49</v>
      </c>
      <c r="D42" s="313"/>
      <c r="E42" s="283"/>
      <c r="F42" s="283"/>
      <c r="G42" s="283"/>
      <c r="H42" s="257"/>
      <c r="I42" s="257"/>
      <c r="J42" s="257"/>
    </row>
    <row r="43" spans="1:10" x14ac:dyDescent="0.25">
      <c r="A43" s="281" t="s">
        <v>9</v>
      </c>
      <c r="B43" s="282"/>
      <c r="C43" s="307" t="s">
        <v>28</v>
      </c>
      <c r="D43" s="308"/>
      <c r="E43" s="283"/>
      <c r="F43" s="283"/>
      <c r="G43" s="283"/>
      <c r="H43" s="257"/>
      <c r="I43" s="257"/>
      <c r="J43" s="257"/>
    </row>
    <row r="44" spans="1:10" x14ac:dyDescent="0.25">
      <c r="A44" s="309" t="s">
        <v>38</v>
      </c>
      <c r="B44" s="310"/>
      <c r="C44" s="310"/>
      <c r="D44" s="310"/>
      <c r="E44" s="310"/>
      <c r="F44" s="310"/>
      <c r="G44" s="311"/>
      <c r="H44" s="257"/>
      <c r="I44" s="257"/>
      <c r="J44" s="257"/>
    </row>
    <row r="45" spans="1:10" x14ac:dyDescent="0.25">
      <c r="A45" s="325" t="s">
        <v>72</v>
      </c>
      <c r="B45" s="325"/>
      <c r="C45" s="325"/>
      <c r="D45" s="325"/>
      <c r="E45" s="326"/>
      <c r="F45" s="327"/>
      <c r="G45" s="327"/>
      <c r="H45" s="327"/>
      <c r="I45" s="327"/>
      <c r="J45" s="327"/>
    </row>
    <row r="46" spans="1:10" x14ac:dyDescent="0.25">
      <c r="A46" s="328"/>
      <c r="B46" s="329"/>
      <c r="C46" s="329"/>
      <c r="D46" s="329"/>
      <c r="E46" s="329"/>
      <c r="F46" s="329"/>
      <c r="G46" s="329"/>
      <c r="H46" s="329"/>
      <c r="I46" s="329"/>
      <c r="J46" s="330"/>
    </row>
    <row r="47" spans="1:10" x14ac:dyDescent="0.25">
      <c r="A47" s="276" t="s">
        <v>50</v>
      </c>
      <c r="B47" s="276"/>
      <c r="C47" s="276"/>
      <c r="D47" s="276"/>
      <c r="E47" s="276"/>
      <c r="F47" s="276"/>
      <c r="G47" s="276"/>
      <c r="H47" s="276"/>
      <c r="I47" s="276"/>
      <c r="J47" s="276"/>
    </row>
    <row r="48" spans="1:10" x14ac:dyDescent="0.25">
      <c r="A48" s="314" t="s">
        <v>2</v>
      </c>
      <c r="B48" s="315"/>
      <c r="C48" s="314" t="s">
        <v>51</v>
      </c>
      <c r="D48" s="315"/>
      <c r="E48" s="24"/>
      <c r="F48" s="26"/>
      <c r="G48" s="25"/>
      <c r="H48" s="316"/>
      <c r="I48" s="317"/>
      <c r="J48" s="315"/>
    </row>
    <row r="49" spans="1:10" x14ac:dyDescent="0.25">
      <c r="A49" s="314" t="s">
        <v>7</v>
      </c>
      <c r="B49" s="315"/>
      <c r="C49" s="314" t="s">
        <v>52</v>
      </c>
      <c r="D49" s="315"/>
      <c r="E49" s="24"/>
      <c r="F49" s="26"/>
      <c r="G49" s="25"/>
      <c r="H49" s="316"/>
      <c r="I49" s="317"/>
      <c r="J49" s="315"/>
    </row>
    <row r="50" spans="1:10" ht="33.75" customHeight="1" x14ac:dyDescent="0.25">
      <c r="A50" s="318" t="s">
        <v>8</v>
      </c>
      <c r="B50" s="319"/>
      <c r="C50" s="320" t="s">
        <v>53</v>
      </c>
      <c r="D50" s="321"/>
      <c r="E50" s="322"/>
      <c r="F50" s="323"/>
      <c r="G50" s="324"/>
      <c r="H50" s="271"/>
      <c r="I50" s="271"/>
      <c r="J50" s="271"/>
    </row>
    <row r="51" spans="1:10" x14ac:dyDescent="0.25">
      <c r="A51" s="232" t="s">
        <v>9</v>
      </c>
      <c r="B51" s="232"/>
      <c r="C51" s="265" t="s">
        <v>54</v>
      </c>
      <c r="D51" s="267"/>
      <c r="E51" s="341"/>
      <c r="F51" s="341"/>
      <c r="G51" s="341"/>
      <c r="H51" s="271"/>
      <c r="I51" s="271"/>
      <c r="J51" s="271"/>
    </row>
    <row r="52" spans="1:10" ht="32.25" customHeight="1" x14ac:dyDescent="0.25">
      <c r="A52" s="232" t="s">
        <v>10</v>
      </c>
      <c r="B52" s="232"/>
      <c r="C52" s="342" t="s">
        <v>93</v>
      </c>
      <c r="D52" s="343"/>
      <c r="E52" s="341"/>
      <c r="F52" s="341"/>
      <c r="G52" s="341"/>
      <c r="H52" s="271"/>
      <c r="I52" s="271"/>
      <c r="J52" s="271"/>
    </row>
    <row r="53" spans="1:10" ht="30.75" customHeight="1" x14ac:dyDescent="0.25">
      <c r="A53" s="265" t="s">
        <v>11</v>
      </c>
      <c r="B53" s="267"/>
      <c r="C53" s="331" t="s">
        <v>53</v>
      </c>
      <c r="D53" s="332"/>
      <c r="E53" s="268"/>
      <c r="F53" s="269"/>
      <c r="G53" s="270"/>
      <c r="H53" s="333"/>
      <c r="I53" s="334"/>
      <c r="J53" s="335"/>
    </row>
    <row r="54" spans="1:10" x14ac:dyDescent="0.25">
      <c r="A54" s="336" t="s">
        <v>36</v>
      </c>
      <c r="B54" s="336"/>
      <c r="C54" s="336"/>
      <c r="D54" s="336"/>
      <c r="E54" s="337"/>
      <c r="F54" s="338"/>
      <c r="G54" s="339"/>
      <c r="H54" s="340"/>
      <c r="I54" s="340"/>
      <c r="J54" s="340"/>
    </row>
    <row r="55" spans="1:10" x14ac:dyDescent="0.25">
      <c r="E55" s="17"/>
      <c r="F55" s="17"/>
      <c r="G55" s="17"/>
      <c r="H55" s="18"/>
      <c r="I55" s="18"/>
      <c r="J55" s="18"/>
    </row>
    <row r="56" spans="1:10" x14ac:dyDescent="0.25">
      <c r="A56" s="276" t="s">
        <v>55</v>
      </c>
      <c r="B56" s="276"/>
      <c r="C56" s="276"/>
      <c r="D56" s="276"/>
      <c r="E56" s="276"/>
      <c r="F56" s="276"/>
      <c r="G56" s="276"/>
      <c r="H56" s="276"/>
      <c r="I56" s="276"/>
      <c r="J56" s="276"/>
    </row>
    <row r="57" spans="1:10" x14ac:dyDescent="0.25">
      <c r="A57" s="314" t="s">
        <v>2</v>
      </c>
      <c r="B57" s="315"/>
      <c r="C57" s="314" t="s">
        <v>56</v>
      </c>
      <c r="D57" s="315"/>
      <c r="E57" s="24"/>
      <c r="F57" s="26"/>
      <c r="G57" s="25"/>
      <c r="H57" s="316"/>
      <c r="I57" s="317"/>
      <c r="J57" s="315"/>
    </row>
    <row r="58" spans="1:10" x14ac:dyDescent="0.25">
      <c r="A58" s="314" t="s">
        <v>7</v>
      </c>
      <c r="B58" s="315"/>
      <c r="C58" s="314" t="s">
        <v>57</v>
      </c>
      <c r="D58" s="315"/>
      <c r="E58" s="24"/>
      <c r="F58" s="26"/>
      <c r="G58" s="25"/>
      <c r="H58" s="316"/>
      <c r="I58" s="317"/>
      <c r="J58" s="315"/>
    </row>
    <row r="59" spans="1:10" x14ac:dyDescent="0.25">
      <c r="A59" s="318" t="s">
        <v>8</v>
      </c>
      <c r="B59" s="319"/>
      <c r="C59" s="320" t="s">
        <v>58</v>
      </c>
      <c r="D59" s="321"/>
      <c r="E59" s="322"/>
      <c r="F59" s="323"/>
      <c r="G59" s="324"/>
      <c r="H59" s="271"/>
      <c r="I59" s="271"/>
      <c r="J59" s="271"/>
    </row>
    <row r="60" spans="1:10" x14ac:dyDescent="0.25">
      <c r="A60" s="232" t="s">
        <v>9</v>
      </c>
      <c r="B60" s="232"/>
      <c r="C60" s="265" t="s">
        <v>59</v>
      </c>
      <c r="D60" s="267"/>
      <c r="E60" s="341"/>
      <c r="F60" s="341"/>
      <c r="G60" s="341"/>
      <c r="H60" s="271"/>
      <c r="I60" s="271"/>
      <c r="J60" s="271"/>
    </row>
    <row r="61" spans="1:10" x14ac:dyDescent="0.25">
      <c r="A61" s="232" t="s">
        <v>10</v>
      </c>
      <c r="B61" s="232"/>
      <c r="C61" s="342" t="s">
        <v>60</v>
      </c>
      <c r="D61" s="343"/>
      <c r="E61" s="341"/>
      <c r="F61" s="341"/>
      <c r="G61" s="341"/>
      <c r="H61" s="271"/>
      <c r="I61" s="271"/>
      <c r="J61" s="271"/>
    </row>
    <row r="62" spans="1:10" ht="20.25" customHeight="1" x14ac:dyDescent="0.25">
      <c r="A62" s="232" t="s">
        <v>11</v>
      </c>
      <c r="B62" s="232"/>
      <c r="C62" s="342" t="s">
        <v>61</v>
      </c>
      <c r="D62" s="343"/>
      <c r="E62" s="341"/>
      <c r="F62" s="341"/>
      <c r="G62" s="341"/>
      <c r="H62" s="271"/>
      <c r="I62" s="271"/>
      <c r="J62" s="271"/>
    </row>
    <row r="63" spans="1:10" ht="30" customHeight="1" x14ac:dyDescent="0.25">
      <c r="A63" s="232" t="s">
        <v>39</v>
      </c>
      <c r="B63" s="232"/>
      <c r="C63" s="342" t="s">
        <v>62</v>
      </c>
      <c r="D63" s="343"/>
      <c r="E63" s="341"/>
      <c r="F63" s="341"/>
      <c r="G63" s="341"/>
      <c r="H63" s="271"/>
      <c r="I63" s="271"/>
      <c r="J63" s="271"/>
    </row>
    <row r="64" spans="1:10" x14ac:dyDescent="0.25">
      <c r="A64" s="336" t="s">
        <v>36</v>
      </c>
      <c r="B64" s="336"/>
      <c r="C64" s="336"/>
      <c r="D64" s="336"/>
      <c r="E64" s="337"/>
      <c r="F64" s="338"/>
      <c r="G64" s="339"/>
      <c r="H64" s="340"/>
      <c r="I64" s="340"/>
      <c r="J64" s="340"/>
    </row>
    <row r="65" spans="1:10" x14ac:dyDescent="0.25">
      <c r="A65" s="346" t="s">
        <v>63</v>
      </c>
      <c r="B65" s="346"/>
      <c r="C65" s="346"/>
      <c r="D65" s="346"/>
      <c r="E65" s="346"/>
      <c r="F65" s="346"/>
      <c r="G65" s="346"/>
      <c r="H65" s="346"/>
      <c r="I65" s="346"/>
      <c r="J65" s="346"/>
    </row>
    <row r="66" spans="1:10" ht="29.25" customHeight="1" x14ac:dyDescent="0.25">
      <c r="A66" s="314" t="s">
        <v>2</v>
      </c>
      <c r="B66" s="315"/>
      <c r="C66" s="344" t="s">
        <v>64</v>
      </c>
      <c r="D66" s="345"/>
      <c r="E66" s="24"/>
      <c r="F66" s="26"/>
      <c r="G66" s="25"/>
      <c r="H66" s="316"/>
      <c r="I66" s="317"/>
      <c r="J66" s="315"/>
    </row>
    <row r="67" spans="1:10" ht="33" customHeight="1" x14ac:dyDescent="0.25">
      <c r="A67" s="314" t="s">
        <v>7</v>
      </c>
      <c r="B67" s="315"/>
      <c r="C67" s="344" t="s">
        <v>65</v>
      </c>
      <c r="D67" s="345"/>
      <c r="E67" s="24"/>
      <c r="F67" s="26"/>
      <c r="G67" s="25"/>
      <c r="H67" s="316"/>
      <c r="I67" s="317"/>
      <c r="J67" s="315"/>
    </row>
    <row r="68" spans="1:10" ht="37.5" customHeight="1" x14ac:dyDescent="0.25">
      <c r="A68" s="318" t="s">
        <v>8</v>
      </c>
      <c r="B68" s="319"/>
      <c r="C68" s="344" t="s">
        <v>66</v>
      </c>
      <c r="D68" s="345"/>
      <c r="E68" s="322"/>
      <c r="F68" s="323"/>
      <c r="G68" s="324"/>
      <c r="H68" s="271"/>
      <c r="I68" s="271"/>
      <c r="J68" s="271"/>
    </row>
    <row r="69" spans="1:10" x14ac:dyDescent="0.25">
      <c r="A69" s="232" t="s">
        <v>9</v>
      </c>
      <c r="B69" s="232"/>
      <c r="C69" s="265" t="s">
        <v>67</v>
      </c>
      <c r="D69" s="267"/>
      <c r="E69" s="341"/>
      <c r="F69" s="341"/>
      <c r="G69" s="341"/>
      <c r="H69" s="271"/>
      <c r="I69" s="271"/>
      <c r="J69" s="271"/>
    </row>
    <row r="70" spans="1:10" x14ac:dyDescent="0.25">
      <c r="A70" s="336" t="s">
        <v>36</v>
      </c>
      <c r="B70" s="336"/>
      <c r="C70" s="336"/>
      <c r="D70" s="336"/>
      <c r="E70" s="337"/>
      <c r="F70" s="338"/>
      <c r="G70" s="339"/>
      <c r="H70" s="340"/>
      <c r="I70" s="340"/>
      <c r="J70" s="340"/>
    </row>
    <row r="71" spans="1:10" x14ac:dyDescent="0.25">
      <c r="A71" s="346" t="s">
        <v>68</v>
      </c>
      <c r="B71" s="346"/>
      <c r="C71" s="346"/>
      <c r="D71" s="346"/>
      <c r="E71" s="346"/>
      <c r="F71" s="346"/>
      <c r="G71" s="346"/>
      <c r="H71" s="346"/>
      <c r="I71" s="346"/>
      <c r="J71" s="346"/>
    </row>
    <row r="72" spans="1:10" x14ac:dyDescent="0.25">
      <c r="A72" s="347" t="s">
        <v>2</v>
      </c>
      <c r="B72" s="348"/>
      <c r="C72" s="347" t="s">
        <v>69</v>
      </c>
      <c r="D72" s="348"/>
      <c r="E72" s="42"/>
      <c r="F72" s="44"/>
      <c r="G72" s="43"/>
      <c r="H72" s="351"/>
      <c r="I72" s="352"/>
      <c r="J72" s="348"/>
    </row>
    <row r="73" spans="1:10" ht="35.25" customHeight="1" x14ac:dyDescent="0.25">
      <c r="A73" s="347" t="s">
        <v>7</v>
      </c>
      <c r="B73" s="348"/>
      <c r="C73" s="349" t="s">
        <v>70</v>
      </c>
      <c r="D73" s="350"/>
      <c r="E73" s="42"/>
      <c r="F73" s="44"/>
      <c r="G73" s="43"/>
      <c r="H73" s="351"/>
      <c r="I73" s="352"/>
      <c r="J73" s="348"/>
    </row>
    <row r="74" spans="1:10" x14ac:dyDescent="0.25">
      <c r="A74" s="256" t="s">
        <v>36</v>
      </c>
      <c r="B74" s="256"/>
      <c r="C74" s="256"/>
      <c r="D74" s="256"/>
      <c r="E74" s="304"/>
      <c r="F74" s="305"/>
      <c r="G74" s="306"/>
      <c r="H74" s="257"/>
      <c r="I74" s="257"/>
      <c r="J74" s="257"/>
    </row>
    <row r="75" spans="1:10" x14ac:dyDescent="0.25">
      <c r="A75" s="256" t="s">
        <v>71</v>
      </c>
      <c r="B75" s="256"/>
      <c r="C75" s="256"/>
      <c r="D75" s="256"/>
      <c r="E75" s="360">
        <f>H74+H70+H64</f>
        <v>0</v>
      </c>
      <c r="F75" s="361"/>
      <c r="G75" s="361"/>
      <c r="H75" s="361"/>
      <c r="I75" s="361"/>
      <c r="J75" s="361"/>
    </row>
    <row r="76" spans="1:10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</row>
    <row r="77" spans="1:10" x14ac:dyDescent="0.25">
      <c r="A77" s="299" t="s">
        <v>73</v>
      </c>
      <c r="B77" s="299"/>
      <c r="C77" s="299"/>
      <c r="D77" s="299"/>
      <c r="E77" s="299"/>
      <c r="F77" s="299"/>
      <c r="G77" s="299"/>
      <c r="H77" s="299"/>
      <c r="I77" s="299"/>
      <c r="J77" s="299"/>
    </row>
    <row r="78" spans="1:10" x14ac:dyDescent="0.25">
      <c r="A78" s="347" t="s">
        <v>2</v>
      </c>
      <c r="B78" s="348"/>
      <c r="C78" s="347" t="s">
        <v>74</v>
      </c>
      <c r="D78" s="348"/>
      <c r="E78" s="347"/>
      <c r="F78" s="352"/>
      <c r="G78" s="348"/>
      <c r="H78" s="351"/>
      <c r="I78" s="352"/>
      <c r="J78" s="348"/>
    </row>
    <row r="79" spans="1:10" x14ac:dyDescent="0.25">
      <c r="A79" s="347" t="s">
        <v>7</v>
      </c>
      <c r="B79" s="348"/>
      <c r="C79" s="347" t="s">
        <v>75</v>
      </c>
      <c r="D79" s="348"/>
      <c r="E79" s="29"/>
      <c r="F79" s="30"/>
      <c r="G79" s="31"/>
      <c r="H79" s="351"/>
      <c r="I79" s="352"/>
      <c r="J79" s="348"/>
    </row>
    <row r="80" spans="1:10" x14ac:dyDescent="0.25">
      <c r="A80" s="353" t="s">
        <v>8</v>
      </c>
      <c r="B80" s="354"/>
      <c r="C80" s="355" t="s">
        <v>76</v>
      </c>
      <c r="D80" s="356"/>
      <c r="E80" s="357"/>
      <c r="F80" s="358"/>
      <c r="G80" s="359"/>
      <c r="H80" s="257"/>
      <c r="I80" s="257"/>
      <c r="J80" s="257"/>
    </row>
    <row r="81" spans="1:19" x14ac:dyDescent="0.25">
      <c r="A81" s="242" t="s">
        <v>9</v>
      </c>
      <c r="B81" s="242"/>
      <c r="C81" s="281" t="s">
        <v>28</v>
      </c>
      <c r="D81" s="282"/>
      <c r="E81" s="264"/>
      <c r="F81" s="264"/>
      <c r="G81" s="264"/>
      <c r="H81" s="257"/>
      <c r="I81" s="257"/>
      <c r="J81" s="257"/>
    </row>
    <row r="82" spans="1:19" x14ac:dyDescent="0.25">
      <c r="A82" s="256" t="s">
        <v>36</v>
      </c>
      <c r="B82" s="256"/>
      <c r="C82" s="256"/>
      <c r="D82" s="256"/>
      <c r="E82" s="304"/>
      <c r="F82" s="305"/>
      <c r="G82" s="306"/>
      <c r="H82" s="257">
        <f>SUM(H78:J81)</f>
        <v>0</v>
      </c>
      <c r="I82" s="257"/>
      <c r="J82" s="257"/>
    </row>
    <row r="83" spans="1:19" x14ac:dyDescent="0.25">
      <c r="E83" s="17"/>
      <c r="F83" s="17"/>
      <c r="G83" s="17"/>
      <c r="H83" s="18"/>
      <c r="I83" s="18"/>
      <c r="J83" s="18"/>
    </row>
    <row r="84" spans="1:19" x14ac:dyDescent="0.25">
      <c r="A84" s="299" t="s">
        <v>84</v>
      </c>
      <c r="B84" s="299"/>
      <c r="C84" s="299"/>
      <c r="D84" s="299"/>
      <c r="E84" s="299"/>
      <c r="F84" s="299"/>
      <c r="G84" s="299"/>
      <c r="H84" s="299"/>
      <c r="I84" s="299"/>
      <c r="J84" s="299"/>
    </row>
    <row r="85" spans="1:19" x14ac:dyDescent="0.25">
      <c r="A85" s="347" t="s">
        <v>2</v>
      </c>
      <c r="B85" s="348"/>
      <c r="C85" s="347" t="s">
        <v>77</v>
      </c>
      <c r="D85" s="348"/>
      <c r="E85" s="362">
        <v>7.0000000000000007E-2</v>
      </c>
      <c r="F85" s="352"/>
      <c r="G85" s="348"/>
      <c r="H85" s="351">
        <f>(H82+E75+H54+E45+E20)*E85</f>
        <v>0</v>
      </c>
      <c r="I85" s="352"/>
      <c r="J85" s="348"/>
    </row>
    <row r="86" spans="1:19" x14ac:dyDescent="0.25">
      <c r="A86" s="347" t="s">
        <v>7</v>
      </c>
      <c r="B86" s="348"/>
      <c r="C86" s="347" t="s">
        <v>12</v>
      </c>
      <c r="D86" s="348"/>
      <c r="E86" s="362">
        <v>0.1</v>
      </c>
      <c r="F86" s="352"/>
      <c r="G86" s="348"/>
      <c r="H86" s="351">
        <f>E86*(H82+E75+H54+E45+E20)</f>
        <v>0</v>
      </c>
      <c r="I86" s="352"/>
      <c r="J86" s="348"/>
    </row>
    <row r="87" spans="1:19" x14ac:dyDescent="0.25">
      <c r="A87" s="353" t="s">
        <v>8</v>
      </c>
      <c r="B87" s="354"/>
      <c r="C87" s="355" t="s">
        <v>78</v>
      </c>
      <c r="D87" s="356"/>
      <c r="E87" s="363">
        <v>0.85750000000000004</v>
      </c>
      <c r="F87" s="364"/>
      <c r="G87" s="365"/>
      <c r="H87" s="257">
        <f>(H82+E75+H54+E45+E20)/E87</f>
        <v>0</v>
      </c>
      <c r="I87" s="257"/>
      <c r="J87" s="257"/>
    </row>
    <row r="88" spans="1:19" x14ac:dyDescent="0.25">
      <c r="A88" s="242" t="s">
        <v>9</v>
      </c>
      <c r="B88" s="242"/>
      <c r="C88" s="281" t="s">
        <v>79</v>
      </c>
      <c r="D88" s="282"/>
      <c r="E88" s="264">
        <v>1.6500000000000001E-2</v>
      </c>
      <c r="F88" s="264"/>
      <c r="G88" s="264"/>
      <c r="H88" s="257">
        <f>E88*H87</f>
        <v>0</v>
      </c>
      <c r="I88" s="257"/>
      <c r="J88" s="257"/>
    </row>
    <row r="89" spans="1:19" x14ac:dyDescent="0.25">
      <c r="A89" s="242" t="s">
        <v>9</v>
      </c>
      <c r="B89" s="242"/>
      <c r="C89" s="281" t="s">
        <v>80</v>
      </c>
      <c r="D89" s="282"/>
      <c r="E89" s="264">
        <v>7.5999999999999998E-2</v>
      </c>
      <c r="F89" s="264"/>
      <c r="G89" s="264"/>
      <c r="H89" s="257">
        <f>E89*H87</f>
        <v>0</v>
      </c>
      <c r="I89" s="257"/>
      <c r="J89" s="257"/>
    </row>
    <row r="90" spans="1:19" x14ac:dyDescent="0.25">
      <c r="A90" s="242" t="s">
        <v>10</v>
      </c>
      <c r="B90" s="242"/>
      <c r="C90" s="281" t="s">
        <v>81</v>
      </c>
      <c r="D90" s="282"/>
      <c r="E90" s="264"/>
      <c r="F90" s="264"/>
      <c r="G90" s="264"/>
      <c r="H90" s="257"/>
      <c r="I90" s="257"/>
      <c r="J90" s="257"/>
    </row>
    <row r="91" spans="1:19" x14ac:dyDescent="0.25">
      <c r="A91" s="242" t="s">
        <v>11</v>
      </c>
      <c r="B91" s="242"/>
      <c r="C91" s="281" t="s">
        <v>82</v>
      </c>
      <c r="D91" s="282"/>
      <c r="E91" s="264">
        <v>0.05</v>
      </c>
      <c r="F91" s="264"/>
      <c r="G91" s="264"/>
      <c r="H91" s="257">
        <f>E91*H87</f>
        <v>0</v>
      </c>
      <c r="I91" s="257"/>
      <c r="J91" s="257"/>
    </row>
    <row r="92" spans="1:19" x14ac:dyDescent="0.25">
      <c r="A92" s="256" t="s">
        <v>36</v>
      </c>
      <c r="B92" s="256"/>
      <c r="C92" s="256"/>
      <c r="D92" s="256"/>
      <c r="E92" s="304"/>
      <c r="F92" s="305"/>
      <c r="G92" s="306"/>
      <c r="H92" s="257">
        <f>H85+H86+H88+H89+H91</f>
        <v>0</v>
      </c>
      <c r="I92" s="257"/>
      <c r="J92" s="257"/>
    </row>
    <row r="93" spans="1:19" x14ac:dyDescent="0.25">
      <c r="E93" s="17"/>
      <c r="F93" s="17"/>
      <c r="G93" s="17"/>
      <c r="H93" s="18"/>
      <c r="I93" s="18"/>
      <c r="J93" s="18"/>
    </row>
    <row r="94" spans="1:19" x14ac:dyDescent="0.25">
      <c r="A94" s="368" t="s">
        <v>85</v>
      </c>
      <c r="B94" s="368"/>
      <c r="C94" s="368"/>
      <c r="D94" s="368"/>
      <c r="E94" s="368"/>
      <c r="F94" s="368"/>
      <c r="G94" s="368"/>
      <c r="H94" s="271">
        <f>SUM(H92+H82+E75+H54+E45+E20)</f>
        <v>0</v>
      </c>
      <c r="I94" s="271"/>
      <c r="J94" s="271"/>
      <c r="M94" s="34"/>
      <c r="N94" s="34"/>
      <c r="O94" s="34"/>
      <c r="P94" s="34"/>
      <c r="Q94" s="34"/>
      <c r="R94" s="34"/>
      <c r="S94" s="34"/>
    </row>
    <row r="95" spans="1:19" x14ac:dyDescent="0.25">
      <c r="M95" s="34"/>
      <c r="N95" s="34"/>
      <c r="O95" s="34"/>
      <c r="P95" s="34"/>
      <c r="Q95" s="34"/>
      <c r="R95" s="34"/>
      <c r="S95" s="34"/>
    </row>
    <row r="96" spans="1:19" x14ac:dyDescent="0.25">
      <c r="M96" s="34"/>
      <c r="N96" s="34"/>
      <c r="O96" s="34"/>
      <c r="P96" s="34"/>
      <c r="Q96" s="34"/>
      <c r="R96" s="34"/>
      <c r="S96" s="34"/>
    </row>
    <row r="97" spans="4:19" x14ac:dyDescent="0.25">
      <c r="M97" s="34"/>
      <c r="N97" s="34"/>
      <c r="O97" s="34"/>
      <c r="P97" s="34"/>
      <c r="Q97" s="34"/>
      <c r="R97" s="34"/>
      <c r="S97" s="34"/>
    </row>
    <row r="98" spans="4:19" ht="15.75" thickBot="1" x14ac:dyDescent="0.3">
      <c r="D98" s="34"/>
      <c r="M98" s="34"/>
      <c r="N98" s="34"/>
      <c r="O98" s="34"/>
      <c r="P98" s="34"/>
      <c r="Q98" s="34"/>
      <c r="R98" s="34"/>
      <c r="S98" s="34"/>
    </row>
    <row r="99" spans="4:19" ht="16.5" thickBot="1" x14ac:dyDescent="0.3">
      <c r="D99" s="45" t="s">
        <v>94</v>
      </c>
      <c r="M99" s="34"/>
      <c r="N99" s="34"/>
      <c r="O99" s="34"/>
      <c r="P99" s="34"/>
      <c r="Q99" s="34"/>
      <c r="R99" s="34"/>
      <c r="S99" s="34"/>
    </row>
    <row r="100" spans="4:19" ht="15.75" customHeight="1" x14ac:dyDescent="0.25">
      <c r="D100" s="366" t="s">
        <v>95</v>
      </c>
      <c r="M100" s="34"/>
      <c r="N100" s="34"/>
      <c r="O100" s="34"/>
      <c r="P100" s="34"/>
      <c r="Q100" s="34"/>
      <c r="R100" s="34"/>
      <c r="S100" s="34"/>
    </row>
    <row r="101" spans="4:19" ht="15.75" thickBot="1" x14ac:dyDescent="0.3">
      <c r="D101" s="367"/>
      <c r="M101" s="34"/>
      <c r="N101" s="34"/>
      <c r="O101" s="34"/>
      <c r="P101" s="34"/>
      <c r="Q101" s="34"/>
      <c r="R101" s="34"/>
      <c r="S101" s="34"/>
    </row>
    <row r="102" spans="4:19" x14ac:dyDescent="0.25">
      <c r="M102" s="34"/>
      <c r="N102" s="34"/>
      <c r="O102" s="34"/>
      <c r="P102" s="34"/>
      <c r="Q102" s="34"/>
      <c r="R102" s="34"/>
      <c r="S102" s="34"/>
    </row>
    <row r="103" spans="4:19" x14ac:dyDescent="0.25">
      <c r="M103" s="34"/>
      <c r="N103" s="34"/>
      <c r="O103" s="34"/>
      <c r="P103" s="34"/>
      <c r="Q103" s="34"/>
      <c r="R103" s="34"/>
      <c r="S103" s="34"/>
    </row>
    <row r="104" spans="4:19" x14ac:dyDescent="0.25">
      <c r="M104" s="34"/>
      <c r="N104" s="34"/>
      <c r="O104" s="34"/>
      <c r="P104" s="34"/>
      <c r="Q104" s="34"/>
      <c r="R104" s="34"/>
      <c r="S104" s="34"/>
    </row>
    <row r="105" spans="4:19" x14ac:dyDescent="0.25">
      <c r="M105" s="34"/>
      <c r="N105" s="34"/>
      <c r="O105" s="34"/>
      <c r="P105" s="34"/>
      <c r="Q105" s="34"/>
      <c r="R105" s="34"/>
      <c r="S105" s="34"/>
    </row>
    <row r="106" spans="4:19" x14ac:dyDescent="0.25">
      <c r="M106" s="34"/>
      <c r="N106" s="34"/>
      <c r="O106" s="34"/>
      <c r="P106" s="34"/>
      <c r="Q106" s="34"/>
      <c r="R106" s="34"/>
      <c r="S106" s="34"/>
    </row>
    <row r="107" spans="4:19" x14ac:dyDescent="0.25">
      <c r="M107" s="34"/>
      <c r="N107" s="34"/>
      <c r="O107" s="34"/>
      <c r="P107" s="34"/>
      <c r="Q107" s="34"/>
      <c r="R107" s="34"/>
      <c r="S107" s="34"/>
    </row>
  </sheetData>
  <mergeCells count="248">
    <mergeCell ref="D100:D101"/>
    <mergeCell ref="A92:D92"/>
    <mergeCell ref="E92:G92"/>
    <mergeCell ref="H92:J92"/>
    <mergeCell ref="A94:G94"/>
    <mergeCell ref="H94:J94"/>
    <mergeCell ref="A90:B90"/>
    <mergeCell ref="C90:D90"/>
    <mergeCell ref="E90:G90"/>
    <mergeCell ref="H90:J90"/>
    <mergeCell ref="A91:B91"/>
    <mergeCell ref="C91:D91"/>
    <mergeCell ref="E91:G91"/>
    <mergeCell ref="H91:J91"/>
    <mergeCell ref="A88:B88"/>
    <mergeCell ref="C88:D88"/>
    <mergeCell ref="E88:G88"/>
    <mergeCell ref="H88:J88"/>
    <mergeCell ref="A89:B89"/>
    <mergeCell ref="C89:D89"/>
    <mergeCell ref="E89:G89"/>
    <mergeCell ref="H89:J89"/>
    <mergeCell ref="A86:B86"/>
    <mergeCell ref="C86:D86"/>
    <mergeCell ref="E86:G86"/>
    <mergeCell ref="H86:J86"/>
    <mergeCell ref="A87:B87"/>
    <mergeCell ref="C87:D87"/>
    <mergeCell ref="E87:G87"/>
    <mergeCell ref="H87:J87"/>
    <mergeCell ref="A84:J84"/>
    <mergeCell ref="A85:B85"/>
    <mergeCell ref="C85:D85"/>
    <mergeCell ref="E85:G85"/>
    <mergeCell ref="H85:J85"/>
    <mergeCell ref="A81:B81"/>
    <mergeCell ref="C81:D81"/>
    <mergeCell ref="E81:G81"/>
    <mergeCell ref="H81:J81"/>
    <mergeCell ref="A82:D82"/>
    <mergeCell ref="E82:G82"/>
    <mergeCell ref="H82:J82"/>
    <mergeCell ref="A79:B79"/>
    <mergeCell ref="C79:D79"/>
    <mergeCell ref="H79:J79"/>
    <mergeCell ref="A80:B80"/>
    <mergeCell ref="C80:D80"/>
    <mergeCell ref="E80:G80"/>
    <mergeCell ref="H80:J80"/>
    <mergeCell ref="A75:D75"/>
    <mergeCell ref="E75:J75"/>
    <mergeCell ref="A77:J77"/>
    <mergeCell ref="A78:B78"/>
    <mergeCell ref="C78:D78"/>
    <mergeCell ref="E78:G78"/>
    <mergeCell ref="H78:J78"/>
    <mergeCell ref="A73:B73"/>
    <mergeCell ref="C73:D73"/>
    <mergeCell ref="H73:J73"/>
    <mergeCell ref="A74:D74"/>
    <mergeCell ref="E74:G74"/>
    <mergeCell ref="H74:J74"/>
    <mergeCell ref="A70:D70"/>
    <mergeCell ref="E70:G70"/>
    <mergeCell ref="H70:J70"/>
    <mergeCell ref="A71:J71"/>
    <mergeCell ref="A72:B72"/>
    <mergeCell ref="C72:D72"/>
    <mergeCell ref="H72:J72"/>
    <mergeCell ref="A68:B68"/>
    <mergeCell ref="C68:D68"/>
    <mergeCell ref="E68:G68"/>
    <mergeCell ref="H68:J68"/>
    <mergeCell ref="A69:B69"/>
    <mergeCell ref="C69:D69"/>
    <mergeCell ref="E69:G69"/>
    <mergeCell ref="H69:J69"/>
    <mergeCell ref="A65:J65"/>
    <mergeCell ref="A66:B66"/>
    <mergeCell ref="C66:D66"/>
    <mergeCell ref="H66:J66"/>
    <mergeCell ref="A67:B67"/>
    <mergeCell ref="C67:D67"/>
    <mergeCell ref="H67:J67"/>
    <mergeCell ref="A63:B63"/>
    <mergeCell ref="C63:D63"/>
    <mergeCell ref="E63:G63"/>
    <mergeCell ref="H63:J63"/>
    <mergeCell ref="A64:D64"/>
    <mergeCell ref="E64:G64"/>
    <mergeCell ref="H64:J64"/>
    <mergeCell ref="A61:B61"/>
    <mergeCell ref="C61:D61"/>
    <mergeCell ref="E61:G61"/>
    <mergeCell ref="H61:J61"/>
    <mergeCell ref="A62:B62"/>
    <mergeCell ref="C62:D62"/>
    <mergeCell ref="E62:G62"/>
    <mergeCell ref="H62:J62"/>
    <mergeCell ref="A59:B59"/>
    <mergeCell ref="C59:D59"/>
    <mergeCell ref="E59:G59"/>
    <mergeCell ref="H59:J59"/>
    <mergeCell ref="A60:B60"/>
    <mergeCell ref="C60:D60"/>
    <mergeCell ref="E60:G60"/>
    <mergeCell ref="H60:J60"/>
    <mergeCell ref="A56:J56"/>
    <mergeCell ref="A57:B57"/>
    <mergeCell ref="C57:D57"/>
    <mergeCell ref="H57:J57"/>
    <mergeCell ref="A58:B58"/>
    <mergeCell ref="C58:D58"/>
    <mergeCell ref="H58:J58"/>
    <mergeCell ref="A53:B53"/>
    <mergeCell ref="C53:D53"/>
    <mergeCell ref="E53:G53"/>
    <mergeCell ref="H53:J53"/>
    <mergeCell ref="A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9:B49"/>
    <mergeCell ref="C49:D49"/>
    <mergeCell ref="H49:J49"/>
    <mergeCell ref="A50:B50"/>
    <mergeCell ref="C50:D50"/>
    <mergeCell ref="E50:G50"/>
    <mergeCell ref="H50:J50"/>
    <mergeCell ref="A45:D45"/>
    <mergeCell ref="E45:J45"/>
    <mergeCell ref="A46:J46"/>
    <mergeCell ref="A47:J47"/>
    <mergeCell ref="A48:B48"/>
    <mergeCell ref="C48:D48"/>
    <mergeCell ref="H48:J48"/>
    <mergeCell ref="A43:B43"/>
    <mergeCell ref="C43:D43"/>
    <mergeCell ref="E43:G43"/>
    <mergeCell ref="H43:J43"/>
    <mergeCell ref="A44:G44"/>
    <mergeCell ref="H44:J44"/>
    <mergeCell ref="A41:B41"/>
    <mergeCell ref="C41:D41"/>
    <mergeCell ref="E41:G41"/>
    <mergeCell ref="H41:J41"/>
    <mergeCell ref="A42:B42"/>
    <mergeCell ref="C42:D42"/>
    <mergeCell ref="E42:G42"/>
    <mergeCell ref="H42:J42"/>
    <mergeCell ref="A39:J39"/>
    <mergeCell ref="A40:B40"/>
    <mergeCell ref="C40:D40"/>
    <mergeCell ref="E40:G40"/>
    <mergeCell ref="H40:J40"/>
    <mergeCell ref="A37:B37"/>
    <mergeCell ref="C37:D37"/>
    <mergeCell ref="E37:G37"/>
    <mergeCell ref="H37:J37"/>
    <mergeCell ref="A38:D38"/>
    <mergeCell ref="E38:G38"/>
    <mergeCell ref="H38:J38"/>
    <mergeCell ref="A35:B35"/>
    <mergeCell ref="C35:D35"/>
    <mergeCell ref="E35:G35"/>
    <mergeCell ref="H35:J35"/>
    <mergeCell ref="A36:B36"/>
    <mergeCell ref="C36:D36"/>
    <mergeCell ref="E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1:B31"/>
    <mergeCell ref="C31:D31"/>
    <mergeCell ref="E31:G31"/>
    <mergeCell ref="H31:J31"/>
    <mergeCell ref="A32:B32"/>
    <mergeCell ref="C32:D32"/>
    <mergeCell ref="E32:G32"/>
    <mergeCell ref="H32:J32"/>
    <mergeCell ref="B28:D28"/>
    <mergeCell ref="E28:G28"/>
    <mergeCell ref="H28:J28"/>
    <mergeCell ref="A29:J29"/>
    <mergeCell ref="A30:B30"/>
    <mergeCell ref="C30:D30"/>
    <mergeCell ref="E30:G30"/>
    <mergeCell ref="H30:J30"/>
    <mergeCell ref="B26:D26"/>
    <mergeCell ref="E26:G26"/>
    <mergeCell ref="H26:J26"/>
    <mergeCell ref="A27:G27"/>
    <mergeCell ref="H27:J27"/>
    <mergeCell ref="A22:J22"/>
    <mergeCell ref="A23:J23"/>
    <mergeCell ref="A24:J24"/>
    <mergeCell ref="B25:D25"/>
    <mergeCell ref="E25:G25"/>
    <mergeCell ref="H25:J25"/>
    <mergeCell ref="B19:D19"/>
    <mergeCell ref="E19:J19"/>
    <mergeCell ref="A20:D20"/>
    <mergeCell ref="E20:J20"/>
    <mergeCell ref="A21:D21"/>
    <mergeCell ref="E21:J21"/>
    <mergeCell ref="B16:D16"/>
    <mergeCell ref="E16:J16"/>
    <mergeCell ref="B17:D17"/>
    <mergeCell ref="E17:J17"/>
    <mergeCell ref="B18:D18"/>
    <mergeCell ref="E18:J18"/>
    <mergeCell ref="A10:J10"/>
    <mergeCell ref="A5:D5"/>
    <mergeCell ref="A6:F6"/>
    <mergeCell ref="A12:J12"/>
    <mergeCell ref="A13:J13"/>
    <mergeCell ref="B14:D14"/>
    <mergeCell ref="E14:J14"/>
    <mergeCell ref="B15:D15"/>
    <mergeCell ref="E15:J15"/>
    <mergeCell ref="A11:J11"/>
    <mergeCell ref="A7:F7"/>
    <mergeCell ref="G7:J7"/>
    <mergeCell ref="A8:J8"/>
    <mergeCell ref="A1:J1"/>
    <mergeCell ref="A9:F9"/>
    <mergeCell ref="G9:J9"/>
    <mergeCell ref="E2:J2"/>
    <mergeCell ref="E3:J3"/>
    <mergeCell ref="E4:J4"/>
    <mergeCell ref="E5:J5"/>
    <mergeCell ref="G6:J6"/>
    <mergeCell ref="A2:D2"/>
    <mergeCell ref="A3:D3"/>
    <mergeCell ref="A4:D4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5117038483843"/>
  </sheetPr>
  <dimension ref="A3:N42"/>
  <sheetViews>
    <sheetView workbookViewId="0">
      <selection activeCell="O15" sqref="O15"/>
    </sheetView>
  </sheetViews>
  <sheetFormatPr defaultRowHeight="15" x14ac:dyDescent="0.25"/>
  <cols>
    <col min="1" max="1" width="3.42578125" customWidth="1"/>
    <col min="2" max="2" width="4.42578125" customWidth="1"/>
    <col min="3" max="3" width="4.28515625" customWidth="1"/>
    <col min="4" max="4" width="16.85546875" customWidth="1"/>
    <col min="5" max="5" width="16.28515625" customWidth="1"/>
    <col min="6" max="7" width="4.85546875" customWidth="1"/>
    <col min="8" max="8" width="5.7109375" customWidth="1"/>
    <col min="9" max="9" width="6" customWidth="1"/>
    <col min="11" max="11" width="11.140625" customWidth="1"/>
  </cols>
  <sheetData>
    <row r="3" spans="1:14" ht="15.75" thickBot="1" x14ac:dyDescent="0.3"/>
    <row r="4" spans="1:14" s="113" customFormat="1" ht="19.5" customHeight="1" thickBot="1" x14ac:dyDescent="0.35">
      <c r="B4" s="378" t="s">
        <v>87</v>
      </c>
      <c r="C4" s="379"/>
      <c r="D4" s="379"/>
      <c r="E4" s="379"/>
      <c r="F4" s="379"/>
      <c r="G4" s="379"/>
      <c r="H4" s="379"/>
      <c r="I4" s="379"/>
      <c r="J4" s="379"/>
      <c r="K4" s="380"/>
    </row>
    <row r="5" spans="1:14" ht="32.25" customHeight="1" thickBot="1" x14ac:dyDescent="0.3">
      <c r="B5" s="396" t="s">
        <v>86</v>
      </c>
      <c r="C5" s="397"/>
      <c r="D5" s="397"/>
      <c r="E5" s="397"/>
      <c r="F5" s="397"/>
      <c r="G5" s="397"/>
      <c r="H5" s="397"/>
      <c r="I5" s="397"/>
      <c r="J5" s="397"/>
      <c r="K5" s="398"/>
    </row>
    <row r="6" spans="1:14" x14ac:dyDescent="0.25">
      <c r="A6" s="34"/>
      <c r="B6" s="399" t="s">
        <v>2</v>
      </c>
      <c r="C6" s="400"/>
      <c r="D6" s="401" t="s">
        <v>3</v>
      </c>
      <c r="E6" s="400"/>
      <c r="F6" s="402">
        <v>0.2</v>
      </c>
      <c r="G6" s="402"/>
      <c r="H6" s="402"/>
      <c r="I6" s="403"/>
      <c r="J6" s="403"/>
      <c r="K6" s="404"/>
    </row>
    <row r="7" spans="1:14" ht="15" customHeight="1" x14ac:dyDescent="0.25">
      <c r="A7" s="34"/>
      <c r="B7" s="381" t="s">
        <v>7</v>
      </c>
      <c r="C7" s="382"/>
      <c r="D7" s="383" t="s">
        <v>41</v>
      </c>
      <c r="E7" s="382"/>
      <c r="F7" s="384"/>
      <c r="G7" s="384"/>
      <c r="H7" s="384"/>
      <c r="I7" s="385"/>
      <c r="J7" s="385"/>
      <c r="K7" s="386"/>
    </row>
    <row r="8" spans="1:14" ht="15" customHeight="1" x14ac:dyDescent="0.25">
      <c r="A8" s="34"/>
      <c r="B8" s="381" t="s">
        <v>8</v>
      </c>
      <c r="C8" s="382"/>
      <c r="D8" s="383" t="s">
        <v>42</v>
      </c>
      <c r="E8" s="382"/>
      <c r="F8" s="384">
        <v>0.01</v>
      </c>
      <c r="G8" s="384"/>
      <c r="H8" s="384"/>
      <c r="I8" s="385"/>
      <c r="J8" s="385"/>
      <c r="K8" s="386"/>
    </row>
    <row r="9" spans="1:14" ht="15" customHeight="1" x14ac:dyDescent="0.25">
      <c r="A9" s="34"/>
      <c r="B9" s="381" t="s">
        <v>9</v>
      </c>
      <c r="C9" s="382"/>
      <c r="D9" s="383" t="s">
        <v>43</v>
      </c>
      <c r="E9" s="382"/>
      <c r="F9" s="384"/>
      <c r="G9" s="384"/>
      <c r="H9" s="384"/>
      <c r="I9" s="385"/>
      <c r="J9" s="385"/>
      <c r="K9" s="386"/>
    </row>
    <row r="10" spans="1:14" ht="15" customHeight="1" x14ac:dyDescent="0.25">
      <c r="A10" s="34"/>
      <c r="B10" s="381" t="s">
        <v>10</v>
      </c>
      <c r="C10" s="382"/>
      <c r="D10" s="383" t="s">
        <v>44</v>
      </c>
      <c r="E10" s="382"/>
      <c r="F10" s="384"/>
      <c r="G10" s="384"/>
      <c r="H10" s="384"/>
      <c r="I10" s="385"/>
      <c r="J10" s="385"/>
      <c r="K10" s="386"/>
    </row>
    <row r="11" spans="1:14" ht="15" customHeight="1" x14ac:dyDescent="0.25">
      <c r="A11" s="34"/>
      <c r="B11" s="381" t="s">
        <v>11</v>
      </c>
      <c r="C11" s="382"/>
      <c r="D11" s="383" t="s">
        <v>6</v>
      </c>
      <c r="E11" s="382"/>
      <c r="F11" s="383"/>
      <c r="G11" s="435"/>
      <c r="H11" s="382"/>
      <c r="I11" s="385"/>
      <c r="J11" s="385"/>
      <c r="K11" s="386"/>
    </row>
    <row r="12" spans="1:14" ht="15" customHeight="1" x14ac:dyDescent="0.25">
      <c r="A12" s="34"/>
      <c r="B12" s="381" t="s">
        <v>39</v>
      </c>
      <c r="C12" s="382"/>
      <c r="D12" s="383" t="s">
        <v>5</v>
      </c>
      <c r="E12" s="382"/>
      <c r="F12" s="384"/>
      <c r="G12" s="384"/>
      <c r="H12" s="384"/>
      <c r="I12" s="385"/>
      <c r="J12" s="385"/>
      <c r="K12" s="386"/>
    </row>
    <row r="13" spans="1:14" ht="15.75" thickBot="1" x14ac:dyDescent="0.3">
      <c r="A13" s="34"/>
      <c r="B13" s="387" t="s">
        <v>40</v>
      </c>
      <c r="C13" s="388"/>
      <c r="D13" s="389" t="s">
        <v>4</v>
      </c>
      <c r="E13" s="390"/>
      <c r="F13" s="391">
        <v>0.08</v>
      </c>
      <c r="G13" s="392"/>
      <c r="H13" s="393"/>
      <c r="I13" s="394"/>
      <c r="J13" s="394"/>
      <c r="K13" s="395"/>
      <c r="N13" s="52"/>
    </row>
    <row r="14" spans="1:14" ht="15.75" thickBot="1" x14ac:dyDescent="0.3">
      <c r="A14" s="34"/>
      <c r="B14" s="411" t="s">
        <v>36</v>
      </c>
      <c r="C14" s="412"/>
      <c r="D14" s="412"/>
      <c r="E14" s="412"/>
      <c r="F14" s="413">
        <f>SUM(F6:H13)</f>
        <v>0.29000000000000004</v>
      </c>
      <c r="G14" s="414"/>
      <c r="H14" s="415"/>
      <c r="I14" s="416"/>
      <c r="J14" s="416"/>
      <c r="K14" s="417"/>
    </row>
    <row r="15" spans="1:14" s="23" customFormat="1" ht="15.75" thickBot="1" x14ac:dyDescent="0.3">
      <c r="B15" s="110"/>
      <c r="C15" s="110"/>
      <c r="D15" s="110"/>
      <c r="E15" s="110"/>
      <c r="F15" s="111"/>
      <c r="G15" s="111"/>
      <c r="H15" s="111"/>
      <c r="I15" s="112"/>
      <c r="J15" s="112"/>
      <c r="K15" s="112"/>
    </row>
    <row r="16" spans="1:14" s="113" customFormat="1" ht="19.5" customHeight="1" thickBot="1" x14ac:dyDescent="0.35">
      <c r="B16" s="408" t="s">
        <v>88</v>
      </c>
      <c r="C16" s="409"/>
      <c r="D16" s="409"/>
      <c r="E16" s="409"/>
      <c r="F16" s="409"/>
      <c r="G16" s="409"/>
      <c r="H16" s="409"/>
      <c r="I16" s="409"/>
      <c r="J16" s="409"/>
      <c r="K16" s="410"/>
    </row>
    <row r="17" spans="2:11" ht="15.75" thickBot="1" x14ac:dyDescent="0.3">
      <c r="B17" s="405" t="s">
        <v>84</v>
      </c>
      <c r="C17" s="406"/>
      <c r="D17" s="406"/>
      <c r="E17" s="406"/>
      <c r="F17" s="406"/>
      <c r="G17" s="406"/>
      <c r="H17" s="406"/>
      <c r="I17" s="406"/>
      <c r="J17" s="406"/>
      <c r="K17" s="407"/>
    </row>
    <row r="18" spans="2:11" x14ac:dyDescent="0.25">
      <c r="B18" s="369" t="s">
        <v>2</v>
      </c>
      <c r="C18" s="370"/>
      <c r="D18" s="371" t="s">
        <v>77</v>
      </c>
      <c r="E18" s="370"/>
      <c r="F18" s="372">
        <v>7.0000000000000007E-2</v>
      </c>
      <c r="G18" s="373"/>
      <c r="H18" s="374"/>
      <c r="I18" s="375"/>
      <c r="J18" s="376"/>
      <c r="K18" s="377"/>
    </row>
    <row r="19" spans="2:11" ht="15" customHeight="1" x14ac:dyDescent="0.25">
      <c r="B19" s="399" t="s">
        <v>7</v>
      </c>
      <c r="C19" s="400"/>
      <c r="D19" s="401" t="s">
        <v>12</v>
      </c>
      <c r="E19" s="400"/>
      <c r="F19" s="418">
        <v>0.1</v>
      </c>
      <c r="G19" s="418"/>
      <c r="H19" s="418"/>
      <c r="I19" s="403"/>
      <c r="J19" s="403"/>
      <c r="K19" s="404"/>
    </row>
    <row r="20" spans="2:11" ht="15" customHeight="1" x14ac:dyDescent="0.25">
      <c r="B20" s="381" t="s">
        <v>8</v>
      </c>
      <c r="C20" s="382"/>
      <c r="D20" s="383" t="s">
        <v>78</v>
      </c>
      <c r="E20" s="382"/>
      <c r="F20" s="384">
        <v>0.91349999999999998</v>
      </c>
      <c r="G20" s="384"/>
      <c r="H20" s="384"/>
      <c r="I20" s="385"/>
      <c r="J20" s="385"/>
      <c r="K20" s="386"/>
    </row>
    <row r="21" spans="2:11" ht="15" customHeight="1" x14ac:dyDescent="0.25">
      <c r="B21" s="381" t="s">
        <v>9</v>
      </c>
      <c r="C21" s="382"/>
      <c r="D21" s="383" t="s">
        <v>79</v>
      </c>
      <c r="E21" s="382"/>
      <c r="F21" s="384">
        <v>6.4999999999999997E-3</v>
      </c>
      <c r="G21" s="384"/>
      <c r="H21" s="384"/>
      <c r="I21" s="385"/>
      <c r="J21" s="385"/>
      <c r="K21" s="386"/>
    </row>
    <row r="22" spans="2:11" ht="15" customHeight="1" x14ac:dyDescent="0.25">
      <c r="B22" s="381" t="s">
        <v>9</v>
      </c>
      <c r="C22" s="382"/>
      <c r="D22" s="383" t="s">
        <v>80</v>
      </c>
      <c r="E22" s="382"/>
      <c r="F22" s="384">
        <v>0.03</v>
      </c>
      <c r="G22" s="384"/>
      <c r="H22" s="384"/>
      <c r="I22" s="385"/>
      <c r="J22" s="385"/>
      <c r="K22" s="386"/>
    </row>
    <row r="23" spans="2:11" ht="15" customHeight="1" x14ac:dyDescent="0.25">
      <c r="B23" s="381" t="s">
        <v>10</v>
      </c>
      <c r="C23" s="382"/>
      <c r="D23" s="383" t="s">
        <v>81</v>
      </c>
      <c r="E23" s="382"/>
      <c r="F23" s="384"/>
      <c r="G23" s="384"/>
      <c r="H23" s="384"/>
      <c r="I23" s="385"/>
      <c r="J23" s="385"/>
      <c r="K23" s="386"/>
    </row>
    <row r="24" spans="2:11" ht="15.75" thickBot="1" x14ac:dyDescent="0.3">
      <c r="B24" s="419" t="s">
        <v>11</v>
      </c>
      <c r="C24" s="420"/>
      <c r="D24" s="389" t="s">
        <v>82</v>
      </c>
      <c r="E24" s="421"/>
      <c r="F24" s="422">
        <v>0.05</v>
      </c>
      <c r="G24" s="422"/>
      <c r="H24" s="422"/>
      <c r="I24" s="394"/>
      <c r="J24" s="394"/>
      <c r="K24" s="395"/>
    </row>
    <row r="25" spans="2:11" ht="15.75" thickBot="1" x14ac:dyDescent="0.3">
      <c r="B25" s="411" t="s">
        <v>36</v>
      </c>
      <c r="C25" s="412"/>
      <c r="D25" s="412"/>
      <c r="E25" s="412"/>
      <c r="F25" s="413"/>
      <c r="G25" s="414"/>
      <c r="H25" s="415"/>
      <c r="I25" s="416"/>
      <c r="J25" s="416"/>
      <c r="K25" s="417"/>
    </row>
    <row r="26" spans="2:11" s="23" customFormat="1" ht="15.75" thickBot="1" x14ac:dyDescent="0.3">
      <c r="B26" s="110"/>
      <c r="C26" s="110"/>
      <c r="D26" s="110"/>
      <c r="E26" s="110"/>
      <c r="F26" s="111"/>
      <c r="G26" s="111"/>
      <c r="H26" s="111"/>
      <c r="I26" s="112"/>
      <c r="J26" s="112"/>
      <c r="K26" s="112"/>
    </row>
    <row r="27" spans="2:11" s="113" customFormat="1" ht="19.5" customHeight="1" thickBot="1" x14ac:dyDescent="0.35">
      <c r="B27" s="408" t="s">
        <v>89</v>
      </c>
      <c r="C27" s="409"/>
      <c r="D27" s="409"/>
      <c r="E27" s="409"/>
      <c r="F27" s="409"/>
      <c r="G27" s="409"/>
      <c r="H27" s="409"/>
      <c r="I27" s="409"/>
      <c r="J27" s="409"/>
      <c r="K27" s="410"/>
    </row>
    <row r="28" spans="2:11" ht="15.75" thickBot="1" x14ac:dyDescent="0.3">
      <c r="B28" s="423" t="s">
        <v>90</v>
      </c>
      <c r="C28" s="424"/>
      <c r="D28" s="424"/>
      <c r="E28" s="424"/>
      <c r="F28" s="424"/>
      <c r="G28" s="424"/>
      <c r="H28" s="424"/>
      <c r="I28" s="424"/>
      <c r="J28" s="424"/>
      <c r="K28" s="425"/>
    </row>
    <row r="29" spans="2:11" x14ac:dyDescent="0.25">
      <c r="B29" s="426" t="s">
        <v>2</v>
      </c>
      <c r="C29" s="427"/>
      <c r="D29" s="428" t="s">
        <v>77</v>
      </c>
      <c r="E29" s="427"/>
      <c r="F29" s="429">
        <v>7.0000000000000007E-2</v>
      </c>
      <c r="G29" s="430"/>
      <c r="H29" s="431"/>
      <c r="I29" s="432"/>
      <c r="J29" s="433"/>
      <c r="K29" s="434"/>
    </row>
    <row r="30" spans="2:11" ht="15" customHeight="1" x14ac:dyDescent="0.25">
      <c r="B30" s="399" t="s">
        <v>7</v>
      </c>
      <c r="C30" s="400"/>
      <c r="D30" s="401" t="s">
        <v>12</v>
      </c>
      <c r="E30" s="400"/>
      <c r="F30" s="418">
        <v>0.1</v>
      </c>
      <c r="G30" s="418"/>
      <c r="H30" s="418"/>
      <c r="I30" s="403"/>
      <c r="J30" s="403"/>
      <c r="K30" s="404"/>
    </row>
    <row r="31" spans="2:11" ht="15" customHeight="1" x14ac:dyDescent="0.25">
      <c r="B31" s="381" t="s">
        <v>8</v>
      </c>
      <c r="C31" s="382"/>
      <c r="D31" s="383" t="s">
        <v>78</v>
      </c>
      <c r="E31" s="382"/>
      <c r="F31" s="384">
        <v>0.92520000000000002</v>
      </c>
      <c r="G31" s="384"/>
      <c r="H31" s="384"/>
      <c r="I31" s="385"/>
      <c r="J31" s="385"/>
      <c r="K31" s="386"/>
    </row>
    <row r="32" spans="2:11" ht="15" customHeight="1" x14ac:dyDescent="0.25">
      <c r="B32" s="381" t="s">
        <v>9</v>
      </c>
      <c r="C32" s="382"/>
      <c r="D32" s="383" t="s">
        <v>79</v>
      </c>
      <c r="E32" s="382"/>
      <c r="F32" s="384">
        <v>4.7000000000000002E-3</v>
      </c>
      <c r="G32" s="384"/>
      <c r="H32" s="384"/>
      <c r="I32" s="385"/>
      <c r="J32" s="385"/>
      <c r="K32" s="386"/>
    </row>
    <row r="33" spans="2:11" ht="15" customHeight="1" x14ac:dyDescent="0.25">
      <c r="B33" s="381" t="s">
        <v>9</v>
      </c>
      <c r="C33" s="382"/>
      <c r="D33" s="383" t="s">
        <v>80</v>
      </c>
      <c r="E33" s="382"/>
      <c r="F33" s="384">
        <v>2.18E-2</v>
      </c>
      <c r="G33" s="384"/>
      <c r="H33" s="384"/>
      <c r="I33" s="385"/>
      <c r="J33" s="385"/>
      <c r="K33" s="386"/>
    </row>
    <row r="34" spans="2:11" ht="15" customHeight="1" x14ac:dyDescent="0.25">
      <c r="B34" s="381" t="s">
        <v>10</v>
      </c>
      <c r="C34" s="382"/>
      <c r="D34" s="383" t="s">
        <v>81</v>
      </c>
      <c r="E34" s="382"/>
      <c r="F34" s="384"/>
      <c r="G34" s="384"/>
      <c r="H34" s="384"/>
      <c r="I34" s="385"/>
      <c r="J34" s="385"/>
      <c r="K34" s="386"/>
    </row>
    <row r="35" spans="2:11" ht="15.75" thickBot="1" x14ac:dyDescent="0.3">
      <c r="B35" s="419" t="s">
        <v>11</v>
      </c>
      <c r="C35" s="420"/>
      <c r="D35" s="389" t="s">
        <v>82</v>
      </c>
      <c r="E35" s="421"/>
      <c r="F35" s="422">
        <v>4.8300000000000003E-2</v>
      </c>
      <c r="G35" s="422"/>
      <c r="H35" s="422"/>
      <c r="I35" s="394"/>
      <c r="J35" s="394"/>
      <c r="K35" s="395"/>
    </row>
    <row r="36" spans="2:11" ht="15.75" thickBot="1" x14ac:dyDescent="0.3">
      <c r="B36" s="411" t="s">
        <v>36</v>
      </c>
      <c r="C36" s="412"/>
      <c r="D36" s="412"/>
      <c r="E36" s="412"/>
      <c r="F36" s="413"/>
      <c r="G36" s="414"/>
      <c r="H36" s="415"/>
      <c r="I36" s="416"/>
      <c r="J36" s="416"/>
      <c r="K36" s="417"/>
    </row>
    <row r="37" spans="2:11" ht="15.75" thickBot="1" x14ac:dyDescent="0.3"/>
    <row r="38" spans="2:11" x14ac:dyDescent="0.25">
      <c r="B38" s="436" t="s">
        <v>316</v>
      </c>
      <c r="C38" s="437"/>
      <c r="D38" s="437"/>
      <c r="E38" s="437"/>
      <c r="F38" s="437"/>
      <c r="G38" s="437"/>
      <c r="H38" s="437"/>
      <c r="I38" s="437"/>
      <c r="J38" s="437"/>
      <c r="K38" s="438"/>
    </row>
    <row r="39" spans="2:11" x14ac:dyDescent="0.25">
      <c r="B39" s="439"/>
      <c r="C39" s="440"/>
      <c r="D39" s="440"/>
      <c r="E39" s="440"/>
      <c r="F39" s="440"/>
      <c r="G39" s="440"/>
      <c r="H39" s="440"/>
      <c r="I39" s="440"/>
      <c r="J39" s="440"/>
      <c r="K39" s="441"/>
    </row>
    <row r="40" spans="2:11" x14ac:dyDescent="0.25">
      <c r="B40" s="439"/>
      <c r="C40" s="440"/>
      <c r="D40" s="440"/>
      <c r="E40" s="440"/>
      <c r="F40" s="440"/>
      <c r="G40" s="440"/>
      <c r="H40" s="440"/>
      <c r="I40" s="440"/>
      <c r="J40" s="440"/>
      <c r="K40" s="441"/>
    </row>
    <row r="41" spans="2:11" x14ac:dyDescent="0.25">
      <c r="B41" s="439"/>
      <c r="C41" s="440"/>
      <c r="D41" s="440"/>
      <c r="E41" s="440"/>
      <c r="F41" s="440"/>
      <c r="G41" s="440"/>
      <c r="H41" s="440"/>
      <c r="I41" s="440"/>
      <c r="J41" s="440"/>
      <c r="K41" s="441"/>
    </row>
    <row r="42" spans="2:11" ht="15.75" thickBot="1" x14ac:dyDescent="0.3">
      <c r="B42" s="442"/>
      <c r="C42" s="443"/>
      <c r="D42" s="443"/>
      <c r="E42" s="443"/>
      <c r="F42" s="443"/>
      <c r="G42" s="443"/>
      <c r="H42" s="443"/>
      <c r="I42" s="443"/>
      <c r="J42" s="443"/>
      <c r="K42" s="444"/>
    </row>
  </sheetData>
  <mergeCells count="104">
    <mergeCell ref="B32:C32"/>
    <mergeCell ref="D32:E32"/>
    <mergeCell ref="F32:H32"/>
    <mergeCell ref="I32:K32"/>
    <mergeCell ref="B33:C33"/>
    <mergeCell ref="D33:E33"/>
    <mergeCell ref="F33:H33"/>
    <mergeCell ref="I33:K33"/>
    <mergeCell ref="B30:C30"/>
    <mergeCell ref="D30:E30"/>
    <mergeCell ref="F30:H30"/>
    <mergeCell ref="B38:K42"/>
    <mergeCell ref="B36:E36"/>
    <mergeCell ref="F36:H36"/>
    <mergeCell ref="I36:K36"/>
    <mergeCell ref="B34:C34"/>
    <mergeCell ref="D34:E34"/>
    <mergeCell ref="F34:H34"/>
    <mergeCell ref="I34:K34"/>
    <mergeCell ref="B35:C35"/>
    <mergeCell ref="D35:E35"/>
    <mergeCell ref="F35:H35"/>
    <mergeCell ref="I35:K35"/>
    <mergeCell ref="I30:K30"/>
    <mergeCell ref="B31:C31"/>
    <mergeCell ref="D31:E31"/>
    <mergeCell ref="F31:H31"/>
    <mergeCell ref="I31:K31"/>
    <mergeCell ref="B27:K27"/>
    <mergeCell ref="B28:K28"/>
    <mergeCell ref="B29:C29"/>
    <mergeCell ref="D29:E29"/>
    <mergeCell ref="F29:H29"/>
    <mergeCell ref="I29:K29"/>
    <mergeCell ref="B24:C24"/>
    <mergeCell ref="D24:E24"/>
    <mergeCell ref="F24:H24"/>
    <mergeCell ref="I24:K24"/>
    <mergeCell ref="B25:E25"/>
    <mergeCell ref="F25:H25"/>
    <mergeCell ref="I25:K25"/>
    <mergeCell ref="B22:C22"/>
    <mergeCell ref="D22:E22"/>
    <mergeCell ref="F22:H22"/>
    <mergeCell ref="I22:K22"/>
    <mergeCell ref="B23:C23"/>
    <mergeCell ref="D23:E23"/>
    <mergeCell ref="F23:H23"/>
    <mergeCell ref="I23:K23"/>
    <mergeCell ref="B20:C20"/>
    <mergeCell ref="D20:E20"/>
    <mergeCell ref="F20:H20"/>
    <mergeCell ref="I20:K20"/>
    <mergeCell ref="B21:C21"/>
    <mergeCell ref="D21:E21"/>
    <mergeCell ref="F21:H21"/>
    <mergeCell ref="I21:K21"/>
    <mergeCell ref="B19:C19"/>
    <mergeCell ref="D19:E19"/>
    <mergeCell ref="F19:H19"/>
    <mergeCell ref="I19:K19"/>
    <mergeCell ref="B7:C7"/>
    <mergeCell ref="D7:E7"/>
    <mergeCell ref="F7:H7"/>
    <mergeCell ref="I7:K7"/>
    <mergeCell ref="B17:K17"/>
    <mergeCell ref="B16:K16"/>
    <mergeCell ref="B14:E14"/>
    <mergeCell ref="F14:H14"/>
    <mergeCell ref="I14:K14"/>
    <mergeCell ref="F8:H8"/>
    <mergeCell ref="I8:K8"/>
    <mergeCell ref="B9:C9"/>
    <mergeCell ref="D9:E9"/>
    <mergeCell ref="F9:H9"/>
    <mergeCell ref="I9:K9"/>
    <mergeCell ref="I11:K11"/>
    <mergeCell ref="B8:C8"/>
    <mergeCell ref="D8:E8"/>
    <mergeCell ref="F11:H11"/>
    <mergeCell ref="B18:C18"/>
    <mergeCell ref="D18:E18"/>
    <mergeCell ref="F18:H18"/>
    <mergeCell ref="I18:K18"/>
    <mergeCell ref="B4:K4"/>
    <mergeCell ref="B12:C12"/>
    <mergeCell ref="D12:E12"/>
    <mergeCell ref="F12:H12"/>
    <mergeCell ref="I12:K12"/>
    <mergeCell ref="B13:C13"/>
    <mergeCell ref="D13:E13"/>
    <mergeCell ref="F13:H13"/>
    <mergeCell ref="I13:K13"/>
    <mergeCell ref="B10:C10"/>
    <mergeCell ref="D10:E10"/>
    <mergeCell ref="F10:H10"/>
    <mergeCell ref="I10:K10"/>
    <mergeCell ref="B5:K5"/>
    <mergeCell ref="B6:C6"/>
    <mergeCell ref="D6:E6"/>
    <mergeCell ref="F6:H6"/>
    <mergeCell ref="I6:K6"/>
    <mergeCell ref="B11:C11"/>
    <mergeCell ref="D11:E11"/>
  </mergeCells>
  <pageMargins left="1.02362204724409" right="0.62992125984252001" top="1.37795275590551" bottom="1.37795275590551" header="0.31496062992126" footer="0.31496062992126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24994659260841701"/>
  </sheetPr>
  <dimension ref="A1:K90"/>
  <sheetViews>
    <sheetView tabSelected="1" zoomScaleSheetLayoutView="100" workbookViewId="0">
      <selection activeCell="N9" sqref="N9"/>
    </sheetView>
  </sheetViews>
  <sheetFormatPr defaultRowHeight="15" x14ac:dyDescent="0.25"/>
  <cols>
    <col min="1" max="1" width="2.85546875" style="114" customWidth="1"/>
    <col min="2" max="2" width="2" style="134" bestFit="1" customWidth="1"/>
    <col min="3" max="4" width="23" style="134" customWidth="1"/>
    <col min="5" max="7" width="3.7109375" style="134" customWidth="1"/>
    <col min="8" max="8" width="4.140625" style="161" customWidth="1"/>
    <col min="9" max="9" width="3.7109375" style="161" customWidth="1"/>
    <col min="10" max="10" width="12.28515625" style="161" customWidth="1"/>
    <col min="11" max="16384" width="9.140625" style="134"/>
  </cols>
  <sheetData>
    <row r="1" spans="1:11" ht="21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1" ht="18" customHeight="1" thickBot="1" x14ac:dyDescent="0.3">
      <c r="A2" s="554" t="s">
        <v>0</v>
      </c>
      <c r="B2" s="555"/>
      <c r="C2" s="556"/>
      <c r="D2" s="557" t="s">
        <v>137</v>
      </c>
      <c r="E2" s="558"/>
      <c r="F2" s="558"/>
      <c r="G2" s="558"/>
      <c r="H2" s="558"/>
      <c r="I2" s="558"/>
      <c r="J2" s="559"/>
      <c r="K2" s="136"/>
    </row>
    <row r="3" spans="1:11" ht="11.25" customHeight="1" thickBot="1" x14ac:dyDescent="0.3">
      <c r="A3" s="560"/>
      <c r="B3" s="561"/>
      <c r="C3" s="561"/>
      <c r="D3" s="561"/>
      <c r="E3" s="561"/>
      <c r="F3" s="561"/>
      <c r="G3" s="561"/>
      <c r="H3" s="561"/>
      <c r="I3" s="561"/>
      <c r="J3" s="562"/>
      <c r="K3" s="136"/>
    </row>
    <row r="4" spans="1:11" ht="30" customHeight="1" thickBot="1" x14ac:dyDescent="0.3">
      <c r="A4" s="564" t="s">
        <v>30</v>
      </c>
      <c r="B4" s="565"/>
      <c r="C4" s="565"/>
      <c r="D4" s="565"/>
      <c r="E4" s="565"/>
      <c r="F4" s="565"/>
      <c r="G4" s="565"/>
      <c r="H4" s="565"/>
      <c r="I4" s="565"/>
      <c r="J4" s="566"/>
      <c r="K4" s="136"/>
    </row>
    <row r="5" spans="1:11" x14ac:dyDescent="0.25">
      <c r="A5" s="563" t="s">
        <v>31</v>
      </c>
      <c r="B5" s="563"/>
      <c r="C5" s="563"/>
      <c r="D5" s="563"/>
      <c r="E5" s="563"/>
      <c r="F5" s="563"/>
      <c r="G5" s="563"/>
      <c r="H5" s="563"/>
      <c r="I5" s="563"/>
      <c r="J5" s="563"/>
      <c r="K5" s="136"/>
    </row>
    <row r="6" spans="1:11" x14ac:dyDescent="0.25">
      <c r="A6" s="117" t="s">
        <v>2</v>
      </c>
      <c r="B6" s="538" t="s">
        <v>1</v>
      </c>
      <c r="C6" s="539"/>
      <c r="D6" s="540"/>
      <c r="E6" s="567">
        <v>1589.96</v>
      </c>
      <c r="F6" s="568"/>
      <c r="G6" s="568"/>
      <c r="H6" s="568"/>
      <c r="I6" s="568"/>
      <c r="J6" s="568"/>
      <c r="K6" s="136"/>
    </row>
    <row r="7" spans="1:11" x14ac:dyDescent="0.25">
      <c r="A7" s="117" t="s">
        <v>7</v>
      </c>
      <c r="B7" s="538" t="s">
        <v>25</v>
      </c>
      <c r="C7" s="539"/>
      <c r="D7" s="540"/>
      <c r="E7" s="541"/>
      <c r="F7" s="542"/>
      <c r="G7" s="542"/>
      <c r="H7" s="542"/>
      <c r="I7" s="542"/>
      <c r="J7" s="543"/>
      <c r="K7" s="136"/>
    </row>
    <row r="8" spans="1:11" x14ac:dyDescent="0.25">
      <c r="A8" s="117" t="s">
        <v>8</v>
      </c>
      <c r="B8" s="538" t="s">
        <v>26</v>
      </c>
      <c r="C8" s="539"/>
      <c r="D8" s="540"/>
      <c r="E8" s="541"/>
      <c r="F8" s="542"/>
      <c r="G8" s="542"/>
      <c r="H8" s="542"/>
      <c r="I8" s="542"/>
      <c r="J8" s="543"/>
      <c r="K8" s="136"/>
    </row>
    <row r="9" spans="1:11" x14ac:dyDescent="0.25">
      <c r="A9" s="117" t="s">
        <v>9</v>
      </c>
      <c r="B9" s="538" t="s">
        <v>27</v>
      </c>
      <c r="C9" s="539"/>
      <c r="D9" s="540"/>
      <c r="E9" s="541"/>
      <c r="F9" s="542"/>
      <c r="G9" s="542"/>
      <c r="H9" s="542"/>
      <c r="I9" s="542"/>
      <c r="J9" s="543"/>
      <c r="K9" s="136"/>
    </row>
    <row r="10" spans="1:11" x14ac:dyDescent="0.25">
      <c r="A10" s="117" t="s">
        <v>10</v>
      </c>
      <c r="B10" s="538" t="s">
        <v>28</v>
      </c>
      <c r="C10" s="539"/>
      <c r="D10" s="540"/>
      <c r="E10" s="480"/>
      <c r="F10" s="480"/>
      <c r="G10" s="480"/>
      <c r="H10" s="480"/>
      <c r="I10" s="480"/>
      <c r="J10" s="480"/>
      <c r="K10" s="136"/>
    </row>
    <row r="11" spans="1:11" ht="32.25" customHeight="1" thickBot="1" x14ac:dyDescent="0.3">
      <c r="A11" s="119" t="s">
        <v>11</v>
      </c>
      <c r="B11" s="544" t="s">
        <v>92</v>
      </c>
      <c r="C11" s="545"/>
      <c r="D11" s="546"/>
      <c r="E11" s="477"/>
      <c r="F11" s="477"/>
      <c r="G11" s="477"/>
      <c r="H11" s="477"/>
      <c r="I11" s="477"/>
      <c r="J11" s="477"/>
      <c r="K11" s="136"/>
    </row>
    <row r="12" spans="1:11" ht="15.75" thickBot="1" x14ac:dyDescent="0.3">
      <c r="A12" s="458" t="s">
        <v>319</v>
      </c>
      <c r="B12" s="459"/>
      <c r="C12" s="459"/>
      <c r="D12" s="460"/>
      <c r="E12" s="547">
        <f>SUM(E6:J11)</f>
        <v>1589.96</v>
      </c>
      <c r="F12" s="485"/>
      <c r="G12" s="485"/>
      <c r="H12" s="485"/>
      <c r="I12" s="485"/>
      <c r="J12" s="486"/>
      <c r="K12" s="136"/>
    </row>
    <row r="13" spans="1:11" ht="30" customHeight="1" x14ac:dyDescent="0.25">
      <c r="A13" s="551" t="s">
        <v>29</v>
      </c>
      <c r="B13" s="552"/>
      <c r="C13" s="552"/>
      <c r="D13" s="553"/>
      <c r="E13" s="548">
        <f>E12*E30</f>
        <v>585.10528000000011</v>
      </c>
      <c r="F13" s="549"/>
      <c r="G13" s="549"/>
      <c r="H13" s="549"/>
      <c r="I13" s="549"/>
      <c r="J13" s="550"/>
      <c r="K13" s="136"/>
    </row>
    <row r="14" spans="1:11" ht="9.75" customHeight="1" thickBot="1" x14ac:dyDescent="0.3">
      <c r="A14" s="474"/>
      <c r="B14" s="477"/>
      <c r="C14" s="477"/>
      <c r="D14" s="477"/>
      <c r="E14" s="477"/>
      <c r="F14" s="477"/>
      <c r="G14" s="477"/>
      <c r="H14" s="477"/>
      <c r="I14" s="477"/>
      <c r="J14" s="473"/>
      <c r="K14" s="136"/>
    </row>
    <row r="15" spans="1:11" ht="30" customHeight="1" thickBot="1" x14ac:dyDescent="0.3">
      <c r="A15" s="500" t="s">
        <v>32</v>
      </c>
      <c r="B15" s="501"/>
      <c r="C15" s="501"/>
      <c r="D15" s="501"/>
      <c r="E15" s="501"/>
      <c r="F15" s="501"/>
      <c r="G15" s="501"/>
      <c r="H15" s="501"/>
      <c r="I15" s="501"/>
      <c r="J15" s="502"/>
      <c r="K15" s="136"/>
    </row>
    <row r="16" spans="1:11" ht="30" customHeight="1" thickBot="1" x14ac:dyDescent="0.3">
      <c r="A16" s="507" t="s">
        <v>324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x14ac:dyDescent="0.25">
      <c r="A17" s="118" t="s">
        <v>2</v>
      </c>
      <c r="B17" s="510" t="s">
        <v>125</v>
      </c>
      <c r="C17" s="520"/>
      <c r="D17" s="511"/>
      <c r="E17" s="517">
        <v>8.3299999999999999E-2</v>
      </c>
      <c r="F17" s="518"/>
      <c r="G17" s="519"/>
      <c r="H17" s="516">
        <f>E17*E12</f>
        <v>132.443668</v>
      </c>
      <c r="I17" s="516"/>
      <c r="J17" s="516"/>
      <c r="K17" s="136"/>
    </row>
    <row r="18" spans="1:11" x14ac:dyDescent="0.25">
      <c r="A18" s="117" t="s">
        <v>7</v>
      </c>
      <c r="B18" s="482" t="s">
        <v>35</v>
      </c>
      <c r="C18" s="521"/>
      <c r="D18" s="483"/>
      <c r="E18" s="287">
        <v>0.121</v>
      </c>
      <c r="F18" s="288"/>
      <c r="G18" s="289"/>
      <c r="H18" s="450">
        <f>E18*E12</f>
        <v>192.38515999999998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324.82882799999999</v>
      </c>
      <c r="I19" s="525"/>
      <c r="J19" s="525"/>
      <c r="K19" s="136"/>
    </row>
    <row r="20" spans="1:11" ht="30" customHeight="1" thickBot="1" x14ac:dyDescent="0.3">
      <c r="A20" s="119" t="s">
        <v>8</v>
      </c>
      <c r="B20" s="526" t="s">
        <v>37</v>
      </c>
      <c r="C20" s="527"/>
      <c r="D20" s="528"/>
      <c r="E20" s="467">
        <v>7.8200000000000006E-2</v>
      </c>
      <c r="F20" s="468"/>
      <c r="G20" s="469"/>
      <c r="H20" s="470">
        <f>E12*E20</f>
        <v>124.33487200000002</v>
      </c>
      <c r="I20" s="471"/>
      <c r="J20" s="472"/>
      <c r="K20" s="136"/>
    </row>
    <row r="21" spans="1:11" ht="30.75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510" t="s">
        <v>2</v>
      </c>
      <c r="B22" s="511"/>
      <c r="C22" s="510" t="s">
        <v>3</v>
      </c>
      <c r="D22" s="511"/>
      <c r="E22" s="515">
        <v>0.2</v>
      </c>
      <c r="F22" s="515"/>
      <c r="G22" s="515"/>
      <c r="H22" s="516">
        <f>E22*(E12+H19)</f>
        <v>382.95776560000002</v>
      </c>
      <c r="I22" s="516"/>
      <c r="J22" s="516"/>
      <c r="K22" s="136"/>
    </row>
    <row r="23" spans="1:11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47.869720700000002</v>
      </c>
      <c r="I23" s="450"/>
      <c r="J23" s="450"/>
      <c r="K23" s="136"/>
    </row>
    <row r="24" spans="1:11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57.443664839999997</v>
      </c>
      <c r="I24" s="450"/>
      <c r="J24" s="450"/>
      <c r="K24" s="136"/>
    </row>
    <row r="25" spans="1:11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28.721832419999998</v>
      </c>
      <c r="I25" s="450"/>
      <c r="J25" s="450"/>
      <c r="K25" s="136"/>
    </row>
    <row r="26" spans="1:11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19.14788828</v>
      </c>
      <c r="I26" s="450"/>
      <c r="J26" s="450"/>
      <c r="K26" s="136"/>
    </row>
    <row r="27" spans="1:11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11.488732968000001</v>
      </c>
      <c r="I27" s="450"/>
      <c r="J27" s="450"/>
      <c r="K27" s="136"/>
    </row>
    <row r="28" spans="1:11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3.8295776560000001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153.18310624</v>
      </c>
      <c r="I29" s="450"/>
      <c r="J29" s="450"/>
      <c r="K29" s="136"/>
    </row>
    <row r="30" spans="1:11" ht="15.75" thickBot="1" x14ac:dyDescent="0.3">
      <c r="A30" s="487" t="s">
        <v>36</v>
      </c>
      <c r="B30" s="487"/>
      <c r="C30" s="487"/>
      <c r="D30" s="487"/>
      <c r="E30" s="491">
        <f>SUM(E22:G29)</f>
        <v>0.36800000000000005</v>
      </c>
      <c r="F30" s="492"/>
      <c r="G30" s="493"/>
      <c r="H30" s="451">
        <f>SUM(H22:J29)</f>
        <v>704.64228870400007</v>
      </c>
      <c r="I30" s="451"/>
      <c r="J30" s="451"/>
      <c r="K30" s="136"/>
    </row>
    <row r="31" spans="1:11" ht="15.75" thickBot="1" x14ac:dyDescent="0.3">
      <c r="A31" s="458" t="s">
        <v>48</v>
      </c>
      <c r="B31" s="459"/>
      <c r="C31" s="459"/>
      <c r="D31" s="459"/>
      <c r="E31" s="459"/>
      <c r="F31" s="459"/>
      <c r="G31" s="459"/>
      <c r="H31" s="459"/>
      <c r="I31" s="459"/>
      <c r="J31" s="460"/>
      <c r="K31" s="136"/>
    </row>
    <row r="32" spans="1:11" x14ac:dyDescent="0.25">
      <c r="A32" s="510" t="s">
        <v>2</v>
      </c>
      <c r="B32" s="511"/>
      <c r="C32" s="510" t="s">
        <v>46</v>
      </c>
      <c r="D32" s="511"/>
      <c r="E32" s="515"/>
      <c r="F32" s="515"/>
      <c r="G32" s="515"/>
      <c r="H32" s="516">
        <f>(3.9*2*25.5)-6%*E6</f>
        <v>103.50240000000001</v>
      </c>
      <c r="I32" s="516"/>
      <c r="J32" s="516"/>
      <c r="K32" s="136"/>
    </row>
    <row r="33" spans="1:11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21.63*25.5-20%</f>
        <v>551.3649999999999</v>
      </c>
      <c r="I33" s="450"/>
      <c r="J33" s="450"/>
      <c r="K33" s="136"/>
    </row>
    <row r="34" spans="1:11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36"/>
    </row>
    <row r="35" spans="1:11" x14ac:dyDescent="0.25">
      <c r="A35" s="482" t="s">
        <v>9</v>
      </c>
      <c r="B35" s="483"/>
      <c r="C35" s="478" t="s">
        <v>149</v>
      </c>
      <c r="D35" s="479"/>
      <c r="E35" s="497"/>
      <c r="F35" s="497"/>
      <c r="G35" s="497"/>
      <c r="H35" s="450">
        <v>25.95</v>
      </c>
      <c r="I35" s="450"/>
      <c r="J35" s="450"/>
      <c r="K35" s="136"/>
    </row>
    <row r="36" spans="1:11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717.38739999999996</v>
      </c>
      <c r="I36" s="451"/>
      <c r="J36" s="451"/>
      <c r="K36" s="136"/>
    </row>
    <row r="37" spans="1:11" ht="15.75" thickBot="1" x14ac:dyDescent="0.3">
      <c r="A37" s="458" t="s">
        <v>72</v>
      </c>
      <c r="B37" s="459"/>
      <c r="C37" s="459"/>
      <c r="D37" s="460"/>
      <c r="E37" s="488">
        <f>H19+H30+H36</f>
        <v>1746.8585167040001</v>
      </c>
      <c r="F37" s="498"/>
      <c r="G37" s="498"/>
      <c r="H37" s="498"/>
      <c r="I37" s="498"/>
      <c r="J37" s="499"/>
      <c r="K37" s="136"/>
    </row>
    <row r="38" spans="1:11" ht="9" customHeight="1" thickBot="1" x14ac:dyDescent="0.3">
      <c r="A38" s="503"/>
      <c r="B38" s="503"/>
      <c r="C38" s="503"/>
      <c r="D38" s="503"/>
      <c r="E38" s="503"/>
      <c r="F38" s="503"/>
      <c r="G38" s="503"/>
      <c r="H38" s="503"/>
      <c r="I38" s="503"/>
      <c r="J38" s="503"/>
      <c r="K38" s="136"/>
    </row>
    <row r="39" spans="1:11" ht="30" customHeight="1" thickBot="1" x14ac:dyDescent="0.3">
      <c r="A39" s="500" t="s">
        <v>129</v>
      </c>
      <c r="B39" s="501"/>
      <c r="C39" s="501"/>
      <c r="D39" s="501"/>
      <c r="E39" s="501"/>
      <c r="F39" s="501"/>
      <c r="G39" s="501"/>
      <c r="H39" s="501"/>
      <c r="I39" s="501"/>
      <c r="J39" s="502"/>
      <c r="K39" s="136"/>
    </row>
    <row r="40" spans="1:11" x14ac:dyDescent="0.25">
      <c r="A40" s="461" t="s">
        <v>2</v>
      </c>
      <c r="B40" s="462"/>
      <c r="C40" s="461" t="s">
        <v>51</v>
      </c>
      <c r="D40" s="462"/>
      <c r="E40" s="190"/>
      <c r="F40" s="191"/>
      <c r="G40" s="192"/>
      <c r="H40" s="465">
        <f>E12/12*5%</f>
        <v>6.624833333333334</v>
      </c>
      <c r="I40" s="466"/>
      <c r="J40" s="462"/>
      <c r="K40" s="136"/>
    </row>
    <row r="41" spans="1:11" x14ac:dyDescent="0.25">
      <c r="A41" s="452" t="s">
        <v>7</v>
      </c>
      <c r="B41" s="453"/>
      <c r="C41" s="452" t="s">
        <v>52</v>
      </c>
      <c r="D41" s="453"/>
      <c r="E41" s="157"/>
      <c r="F41" s="158"/>
      <c r="G41" s="159"/>
      <c r="H41" s="456">
        <f>H40*8%</f>
        <v>0.52998666666666672</v>
      </c>
      <c r="I41" s="457"/>
      <c r="J41" s="453"/>
      <c r="K41" s="136"/>
    </row>
    <row r="42" spans="1:11" ht="30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481" t="s">
        <v>9</v>
      </c>
      <c r="B43" s="481"/>
      <c r="C43" s="482" t="s">
        <v>54</v>
      </c>
      <c r="D43" s="483"/>
      <c r="E43" s="480"/>
      <c r="F43" s="480"/>
      <c r="G43" s="480"/>
      <c r="H43" s="450">
        <f>E12/30/12*7*100%</f>
        <v>30.915888888888887</v>
      </c>
      <c r="I43" s="450"/>
      <c r="J43" s="450"/>
      <c r="K43" s="136"/>
    </row>
    <row r="44" spans="1:11" ht="27.75" customHeight="1" x14ac:dyDescent="0.25">
      <c r="A44" s="481" t="s">
        <v>10</v>
      </c>
      <c r="B44" s="481"/>
      <c r="C44" s="478" t="s">
        <v>93</v>
      </c>
      <c r="D44" s="479"/>
      <c r="E44" s="480"/>
      <c r="F44" s="480"/>
      <c r="G44" s="480"/>
      <c r="H44" s="450">
        <f>H43*39.8%</f>
        <v>12.304523777777776</v>
      </c>
      <c r="I44" s="450"/>
      <c r="J44" s="450"/>
      <c r="K44" s="136"/>
    </row>
    <row r="45" spans="1:11" ht="27" customHeight="1" thickBot="1" x14ac:dyDescent="0.3">
      <c r="A45" s="473" t="s">
        <v>11</v>
      </c>
      <c r="B45" s="474"/>
      <c r="C45" s="475" t="s">
        <v>53</v>
      </c>
      <c r="D45" s="476"/>
      <c r="E45" s="467"/>
      <c r="F45" s="468"/>
      <c r="G45" s="469"/>
      <c r="H45" s="470">
        <f>E12*5%</f>
        <v>79.498000000000005</v>
      </c>
      <c r="I45" s="471"/>
      <c r="J45" s="472"/>
      <c r="K45" s="136"/>
    </row>
    <row r="46" spans="1:11" ht="15.75" thickBot="1" x14ac:dyDescent="0.3">
      <c r="A46" s="570" t="s">
        <v>318</v>
      </c>
      <c r="B46" s="571"/>
      <c r="C46" s="571"/>
      <c r="D46" s="571"/>
      <c r="E46" s="571"/>
      <c r="F46" s="571"/>
      <c r="G46" s="572"/>
      <c r="H46" s="484">
        <f>SUM(H40:J45)</f>
        <v>129.87323266666667</v>
      </c>
      <c r="I46" s="485"/>
      <c r="J46" s="486"/>
      <c r="K46" s="136"/>
    </row>
    <row r="47" spans="1:11" ht="9" customHeight="1" thickBot="1" x14ac:dyDescent="0.3">
      <c r="E47" s="160"/>
      <c r="F47" s="160"/>
      <c r="G47" s="160"/>
      <c r="K47" s="136"/>
    </row>
    <row r="48" spans="1:11" ht="30" customHeight="1" thickBot="1" x14ac:dyDescent="0.3">
      <c r="A48" s="494" t="s">
        <v>323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461" t="s">
        <v>2</v>
      </c>
      <c r="B49" s="462"/>
      <c r="C49" s="461" t="s">
        <v>56</v>
      </c>
      <c r="D49" s="462"/>
      <c r="E49" s="190"/>
      <c r="F49" s="191"/>
      <c r="G49" s="192"/>
      <c r="H49" s="465">
        <f>E20/12*5%</f>
        <v>3.2583333333333336E-4</v>
      </c>
      <c r="I49" s="466"/>
      <c r="J49" s="462"/>
      <c r="K49" s="136"/>
    </row>
    <row r="50" spans="1:11" x14ac:dyDescent="0.25">
      <c r="A50" s="452" t="s">
        <v>7</v>
      </c>
      <c r="B50" s="453"/>
      <c r="C50" s="452" t="s">
        <v>57</v>
      </c>
      <c r="D50" s="453"/>
      <c r="E50" s="157"/>
      <c r="F50" s="158"/>
      <c r="G50" s="159"/>
      <c r="H50" s="456">
        <f>E12/30/12</f>
        <v>4.4165555555555551</v>
      </c>
      <c r="I50" s="457"/>
      <c r="J50" s="453"/>
      <c r="K50" s="136"/>
    </row>
    <row r="51" spans="1:11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0.3312416666666666</v>
      </c>
      <c r="I51" s="450"/>
      <c r="J51" s="450"/>
      <c r="K51" s="136"/>
    </row>
    <row r="52" spans="1:11" ht="30" customHeight="1" x14ac:dyDescent="0.25">
      <c r="A52" s="481" t="s">
        <v>9</v>
      </c>
      <c r="B52" s="481"/>
      <c r="C52" s="284" t="s">
        <v>59</v>
      </c>
      <c r="D52" s="286"/>
      <c r="E52" s="480"/>
      <c r="F52" s="480"/>
      <c r="G52" s="480"/>
      <c r="H52" s="450">
        <f>E12/30/12*15*8%</f>
        <v>5.2998666666666656</v>
      </c>
      <c r="I52" s="450"/>
      <c r="J52" s="450"/>
      <c r="K52" s="136"/>
    </row>
    <row r="53" spans="1:11" x14ac:dyDescent="0.25">
      <c r="A53" s="481" t="s">
        <v>10</v>
      </c>
      <c r="B53" s="481"/>
      <c r="C53" s="478" t="s">
        <v>60</v>
      </c>
      <c r="D53" s="479"/>
      <c r="E53" s="480"/>
      <c r="F53" s="480"/>
      <c r="G53" s="480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481" t="s">
        <v>11</v>
      </c>
      <c r="B54" s="481"/>
      <c r="C54" s="478" t="s">
        <v>61</v>
      </c>
      <c r="D54" s="479"/>
      <c r="E54" s="480"/>
      <c r="F54" s="480"/>
      <c r="G54" s="480"/>
      <c r="H54" s="450">
        <f>E12/30/12*5*40%</f>
        <v>8.8331111111111102</v>
      </c>
      <c r="I54" s="450"/>
      <c r="J54" s="450"/>
      <c r="K54" s="136"/>
    </row>
    <row r="55" spans="1:11" ht="31.5" customHeight="1" x14ac:dyDescent="0.25">
      <c r="A55" s="481" t="s">
        <v>39</v>
      </c>
      <c r="B55" s="481"/>
      <c r="C55" s="478" t="s">
        <v>62</v>
      </c>
      <c r="D55" s="479"/>
      <c r="E55" s="480"/>
      <c r="F55" s="480"/>
      <c r="G55" s="480"/>
      <c r="H55" s="450">
        <f>SUM(H49:J54)*39.8%</f>
        <v>7.5162343116666639</v>
      </c>
      <c r="I55" s="450"/>
      <c r="J55" s="450"/>
      <c r="K55" s="136"/>
    </row>
    <row r="56" spans="1:11" ht="15.75" thickBot="1" x14ac:dyDescent="0.3">
      <c r="A56" s="487" t="s">
        <v>36</v>
      </c>
      <c r="B56" s="487"/>
      <c r="C56" s="487"/>
      <c r="D56" s="487"/>
      <c r="E56" s="491"/>
      <c r="F56" s="492"/>
      <c r="G56" s="493"/>
      <c r="H56" s="451">
        <f>SUM(H49:J55)</f>
        <v>26.401245144999994</v>
      </c>
      <c r="I56" s="451"/>
      <c r="J56" s="451"/>
      <c r="K56" s="136"/>
    </row>
    <row r="57" spans="1:11" ht="15.75" thickBot="1" x14ac:dyDescent="0.3">
      <c r="A57" s="458" t="s">
        <v>127</v>
      </c>
      <c r="B57" s="459"/>
      <c r="C57" s="459"/>
      <c r="D57" s="459"/>
      <c r="E57" s="459"/>
      <c r="F57" s="459"/>
      <c r="G57" s="459"/>
      <c r="H57" s="459"/>
      <c r="I57" s="459"/>
      <c r="J57" s="460"/>
      <c r="K57" s="136"/>
    </row>
    <row r="58" spans="1:11" ht="30.75" customHeight="1" x14ac:dyDescent="0.25">
      <c r="A58" s="461" t="s">
        <v>2</v>
      </c>
      <c r="B58" s="462"/>
      <c r="C58" s="463" t="s">
        <v>64</v>
      </c>
      <c r="D58" s="464"/>
      <c r="E58" s="190"/>
      <c r="F58" s="191"/>
      <c r="G58" s="192"/>
      <c r="H58" s="465">
        <f>((((E12+(E12/3))*0.3333)/12)*2%)</f>
        <v>1.1776303733333333</v>
      </c>
      <c r="I58" s="466"/>
      <c r="J58" s="462"/>
      <c r="K58" s="136"/>
    </row>
    <row r="59" spans="1:11" ht="44.25" customHeight="1" x14ac:dyDescent="0.25">
      <c r="A59" s="452" t="s">
        <v>7</v>
      </c>
      <c r="B59" s="453"/>
      <c r="C59" s="454" t="s">
        <v>65</v>
      </c>
      <c r="D59" s="455"/>
      <c r="E59" s="157"/>
      <c r="F59" s="158"/>
      <c r="G59" s="159"/>
      <c r="H59" s="456">
        <f>H58*39.8%</f>
        <v>0.46869688858666664</v>
      </c>
      <c r="I59" s="457"/>
      <c r="J59" s="453"/>
      <c r="K59" s="136"/>
    </row>
    <row r="60" spans="1:11" ht="42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4.5655409546942396</v>
      </c>
      <c r="I60" s="450"/>
      <c r="J60" s="450"/>
      <c r="K60" s="136"/>
    </row>
    <row r="61" spans="1:11" x14ac:dyDescent="0.25">
      <c r="A61" s="481" t="s">
        <v>9</v>
      </c>
      <c r="B61" s="481"/>
      <c r="C61" s="482" t="s">
        <v>67</v>
      </c>
      <c r="D61" s="483"/>
      <c r="E61" s="480"/>
      <c r="F61" s="480"/>
      <c r="G61" s="480"/>
      <c r="H61" s="450"/>
      <c r="I61" s="450"/>
      <c r="J61" s="450"/>
      <c r="K61" s="136"/>
    </row>
    <row r="62" spans="1:11" ht="15.75" thickBot="1" x14ac:dyDescent="0.3">
      <c r="A62" s="487" t="s">
        <v>36</v>
      </c>
      <c r="B62" s="487"/>
      <c r="C62" s="487"/>
      <c r="D62" s="487"/>
      <c r="E62" s="491"/>
      <c r="F62" s="492"/>
      <c r="G62" s="493"/>
      <c r="H62" s="451">
        <f>SUM(H58:J61)</f>
        <v>6.2118682166142394</v>
      </c>
      <c r="I62" s="451"/>
      <c r="J62" s="451"/>
      <c r="K62" s="136"/>
    </row>
    <row r="63" spans="1:11" ht="15.75" thickBot="1" x14ac:dyDescent="0.3">
      <c r="A63" s="458" t="s">
        <v>126</v>
      </c>
      <c r="B63" s="459"/>
      <c r="C63" s="459"/>
      <c r="D63" s="459"/>
      <c r="E63" s="459"/>
      <c r="F63" s="459"/>
      <c r="G63" s="459"/>
      <c r="H63" s="459"/>
      <c r="I63" s="459"/>
      <c r="J63" s="460"/>
      <c r="K63" s="136"/>
    </row>
    <row r="64" spans="1:11" ht="27" customHeight="1" x14ac:dyDescent="0.25">
      <c r="A64" s="461" t="s">
        <v>2</v>
      </c>
      <c r="B64" s="462"/>
      <c r="C64" s="463" t="s">
        <v>69</v>
      </c>
      <c r="D64" s="464"/>
      <c r="E64" s="190"/>
      <c r="F64" s="191"/>
      <c r="G64" s="192"/>
      <c r="H64" s="465">
        <f>((((E18+(E18/3))*0.3333)/12)*2%)</f>
        <v>8.9620666666666654E-5</v>
      </c>
      <c r="I64" s="466"/>
      <c r="J64" s="462"/>
      <c r="K64" s="136"/>
    </row>
    <row r="65" spans="1:11" ht="30.75" customHeight="1" x14ac:dyDescent="0.25">
      <c r="A65" s="452" t="s">
        <v>7</v>
      </c>
      <c r="B65" s="453"/>
      <c r="C65" s="454" t="s">
        <v>70</v>
      </c>
      <c r="D65" s="455"/>
      <c r="E65" s="157"/>
      <c r="F65" s="158"/>
      <c r="G65" s="159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1" ht="15.75" thickBot="1" x14ac:dyDescent="0.3">
      <c r="A67" s="458" t="s">
        <v>71</v>
      </c>
      <c r="B67" s="459"/>
      <c r="C67" s="459"/>
      <c r="D67" s="460"/>
      <c r="E67" s="488">
        <f>H66+H62+H56</f>
        <v>32.613238651306233</v>
      </c>
      <c r="F67" s="489"/>
      <c r="G67" s="489"/>
      <c r="H67" s="489"/>
      <c r="I67" s="489"/>
      <c r="J67" s="490"/>
      <c r="K67" s="136"/>
    </row>
    <row r="68" spans="1:11" ht="11.25" customHeight="1" thickBot="1" x14ac:dyDescent="0.3">
      <c r="A68" s="115"/>
      <c r="B68" s="135"/>
      <c r="C68" s="135"/>
      <c r="D68" s="135"/>
      <c r="E68" s="135"/>
      <c r="F68" s="135"/>
      <c r="G68" s="135"/>
      <c r="H68" s="135"/>
      <c r="I68" s="135"/>
      <c r="J68" s="135"/>
      <c r="K68" s="136"/>
    </row>
    <row r="69" spans="1:11" ht="30" customHeight="1" thickBot="1" x14ac:dyDescent="0.3">
      <c r="A69" s="500" t="s">
        <v>73</v>
      </c>
      <c r="B69" s="501"/>
      <c r="C69" s="501"/>
      <c r="D69" s="501"/>
      <c r="E69" s="501"/>
      <c r="F69" s="501"/>
      <c r="G69" s="501"/>
      <c r="H69" s="501"/>
      <c r="I69" s="501"/>
      <c r="J69" s="502"/>
      <c r="K69" s="136"/>
    </row>
    <row r="70" spans="1:11" x14ac:dyDescent="0.25">
      <c r="A70" s="461" t="s">
        <v>2</v>
      </c>
      <c r="B70" s="462"/>
      <c r="C70" s="461" t="s">
        <v>74</v>
      </c>
      <c r="D70" s="462"/>
      <c r="E70" s="461"/>
      <c r="F70" s="466"/>
      <c r="G70" s="462"/>
      <c r="H70" s="465">
        <v>350</v>
      </c>
      <c r="I70" s="466"/>
      <c r="J70" s="462"/>
      <c r="K70" s="136"/>
    </row>
    <row r="71" spans="1:11" x14ac:dyDescent="0.25">
      <c r="A71" s="452" t="s">
        <v>7</v>
      </c>
      <c r="B71" s="453"/>
      <c r="C71" s="452" t="s">
        <v>75</v>
      </c>
      <c r="D71" s="453"/>
      <c r="E71" s="157"/>
      <c r="F71" s="158"/>
      <c r="G71" s="159"/>
      <c r="H71" s="456">
        <v>5.56</v>
      </c>
      <c r="I71" s="457"/>
      <c r="J71" s="453"/>
      <c r="K71" s="136"/>
    </row>
    <row r="72" spans="1:11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477" t="s">
        <v>9</v>
      </c>
      <c r="B73" s="477"/>
      <c r="C73" s="473" t="s">
        <v>28</v>
      </c>
      <c r="D73" s="474"/>
      <c r="E73" s="448"/>
      <c r="F73" s="448"/>
      <c r="G73" s="448"/>
      <c r="H73" s="449">
        <f>E31/30/12*15*8%</f>
        <v>0</v>
      </c>
      <c r="I73" s="449"/>
      <c r="J73" s="449"/>
      <c r="K73" s="136"/>
    </row>
    <row r="74" spans="1:11" ht="15.75" thickBot="1" x14ac:dyDescent="0.3">
      <c r="A74" s="570" t="s">
        <v>320</v>
      </c>
      <c r="B74" s="571"/>
      <c r="C74" s="571"/>
      <c r="D74" s="571"/>
      <c r="E74" s="571"/>
      <c r="F74" s="571"/>
      <c r="G74" s="572"/>
      <c r="H74" s="484">
        <f>SUM(H70:J73)</f>
        <v>398.31</v>
      </c>
      <c r="I74" s="485"/>
      <c r="J74" s="486"/>
      <c r="K74" s="136"/>
    </row>
    <row r="75" spans="1:11" ht="11.25" customHeight="1" thickBot="1" x14ac:dyDescent="0.3">
      <c r="E75" s="160"/>
      <c r="F75" s="160"/>
      <c r="G75" s="160"/>
      <c r="K75" s="136"/>
    </row>
    <row r="76" spans="1:11" ht="30" customHeight="1" thickBot="1" x14ac:dyDescent="0.3">
      <c r="A76" s="500" t="s">
        <v>84</v>
      </c>
      <c r="B76" s="501"/>
      <c r="C76" s="501"/>
      <c r="D76" s="501"/>
      <c r="E76" s="501"/>
      <c r="F76" s="501"/>
      <c r="G76" s="501"/>
      <c r="H76" s="501"/>
      <c r="I76" s="501"/>
      <c r="J76" s="502"/>
      <c r="K76" s="136"/>
    </row>
    <row r="77" spans="1:11" x14ac:dyDescent="0.25">
      <c r="A77" s="461" t="s">
        <v>2</v>
      </c>
      <c r="B77" s="462"/>
      <c r="C77" s="461" t="s">
        <v>77</v>
      </c>
      <c r="D77" s="462"/>
      <c r="E77" s="569">
        <v>7.0000000000000007E-2</v>
      </c>
      <c r="F77" s="466"/>
      <c r="G77" s="462"/>
      <c r="H77" s="465">
        <f>(H74+E67+H46+E37+E12)*E77</f>
        <v>272.8330491615381</v>
      </c>
      <c r="I77" s="466"/>
      <c r="J77" s="462"/>
      <c r="K77" s="136"/>
    </row>
    <row r="78" spans="1:11" x14ac:dyDescent="0.25">
      <c r="A78" s="452" t="s">
        <v>7</v>
      </c>
      <c r="B78" s="453"/>
      <c r="C78" s="452" t="s">
        <v>12</v>
      </c>
      <c r="D78" s="453"/>
      <c r="E78" s="537">
        <v>7.5775276633744088E-2</v>
      </c>
      <c r="F78" s="457"/>
      <c r="G78" s="453"/>
      <c r="H78" s="456">
        <f>E78*(H74+E67+H46+E37+E12)</f>
        <v>295.34285392919213</v>
      </c>
      <c r="I78" s="457"/>
      <c r="J78" s="453"/>
      <c r="K78" s="136"/>
    </row>
    <row r="79" spans="1:11" ht="15" customHeight="1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450">
        <f>(H74+E67+H46+E37+E12)/E79</f>
        <v>4545.3236011918043</v>
      </c>
      <c r="I79" s="450"/>
      <c r="J79" s="450"/>
      <c r="K79" s="136"/>
    </row>
    <row r="80" spans="1:11" ht="15" customHeight="1" x14ac:dyDescent="0.25">
      <c r="A80" s="481" t="s">
        <v>9</v>
      </c>
      <c r="B80" s="481"/>
      <c r="C80" s="482" t="s">
        <v>79</v>
      </c>
      <c r="D80" s="483"/>
      <c r="E80" s="480">
        <v>1.6500000000000001E-2</v>
      </c>
      <c r="F80" s="480"/>
      <c r="G80" s="480"/>
      <c r="H80" s="450">
        <f>E80*J89</f>
        <v>53.111850000000004</v>
      </c>
      <c r="I80" s="450"/>
      <c r="J80" s="450"/>
      <c r="K80" s="136"/>
    </row>
    <row r="81" spans="1:11" ht="15" customHeight="1" x14ac:dyDescent="0.25">
      <c r="A81" s="481" t="s">
        <v>9</v>
      </c>
      <c r="B81" s="481"/>
      <c r="C81" s="482" t="s">
        <v>80</v>
      </c>
      <c r="D81" s="483"/>
      <c r="E81" s="480">
        <v>7.5999999999999998E-2</v>
      </c>
      <c r="F81" s="480"/>
      <c r="G81" s="480"/>
      <c r="H81" s="450">
        <f>E81*J89</f>
        <v>244.63640000000001</v>
      </c>
      <c r="I81" s="450"/>
      <c r="J81" s="450"/>
      <c r="K81" s="136"/>
    </row>
    <row r="82" spans="1:11" x14ac:dyDescent="0.25">
      <c r="A82" s="481" t="s">
        <v>10</v>
      </c>
      <c r="B82" s="481"/>
      <c r="C82" s="482" t="s">
        <v>81</v>
      </c>
      <c r="D82" s="483"/>
      <c r="E82" s="480"/>
      <c r="F82" s="480"/>
      <c r="G82" s="480"/>
      <c r="H82" s="450"/>
      <c r="I82" s="450"/>
      <c r="J82" s="450"/>
      <c r="K82" s="136"/>
    </row>
    <row r="83" spans="1:11" ht="15.75" thickBot="1" x14ac:dyDescent="0.3">
      <c r="A83" s="477" t="s">
        <v>11</v>
      </c>
      <c r="B83" s="477"/>
      <c r="C83" s="473" t="s">
        <v>110</v>
      </c>
      <c r="D83" s="474"/>
      <c r="E83" s="448">
        <v>0.05</v>
      </c>
      <c r="F83" s="448"/>
      <c r="G83" s="448"/>
      <c r="H83" s="449">
        <f>E83*J89</f>
        <v>160.94500000000002</v>
      </c>
      <c r="I83" s="449"/>
      <c r="J83" s="449"/>
      <c r="K83" s="136"/>
    </row>
    <row r="84" spans="1:11" ht="15.75" thickBot="1" x14ac:dyDescent="0.3">
      <c r="A84" s="573" t="s">
        <v>321</v>
      </c>
      <c r="B84" s="574"/>
      <c r="C84" s="574"/>
      <c r="D84" s="574"/>
      <c r="E84" s="574"/>
      <c r="F84" s="574"/>
      <c r="G84" s="574"/>
      <c r="H84" s="547">
        <f>H77+H78+H80+H81+H83</f>
        <v>1026.8691530907302</v>
      </c>
      <c r="I84" s="485"/>
      <c r="J84" s="486"/>
      <c r="K84" s="136"/>
    </row>
    <row r="85" spans="1:11" ht="0.75" customHeight="1" x14ac:dyDescent="0.25">
      <c r="A85" s="116"/>
      <c r="B85" s="116"/>
      <c r="C85" s="116"/>
      <c r="D85" s="116"/>
      <c r="E85" s="131"/>
      <c r="F85" s="131"/>
      <c r="G85" s="131"/>
      <c r="K85" s="136"/>
    </row>
    <row r="86" spans="1:11" ht="8.25" customHeight="1" thickBot="1" x14ac:dyDescent="0.3">
      <c r="A86" s="116"/>
      <c r="B86" s="116"/>
      <c r="C86" s="116"/>
      <c r="D86" s="116"/>
      <c r="E86" s="131"/>
      <c r="F86" s="131"/>
      <c r="G86" s="131"/>
      <c r="K86" s="136"/>
    </row>
    <row r="87" spans="1:11" ht="15.75" thickBot="1" x14ac:dyDescent="0.3">
      <c r="A87" s="575" t="s">
        <v>85</v>
      </c>
      <c r="B87" s="576"/>
      <c r="C87" s="576"/>
      <c r="D87" s="576"/>
      <c r="E87" s="576"/>
      <c r="F87" s="576"/>
      <c r="G87" s="577"/>
      <c r="H87" s="534">
        <f>SUM(H84+H74+E67+H46+E37+E12)</f>
        <v>4924.4841411127027</v>
      </c>
      <c r="I87" s="535"/>
      <c r="J87" s="536"/>
    </row>
    <row r="89" spans="1:11" x14ac:dyDescent="0.25">
      <c r="J89" s="174">
        <v>3218.9</v>
      </c>
    </row>
    <row r="90" spans="1:11" x14ac:dyDescent="0.25">
      <c r="D90" s="175"/>
    </row>
  </sheetData>
  <mergeCells count="230">
    <mergeCell ref="A46:G46"/>
    <mergeCell ref="A84:G84"/>
    <mergeCell ref="E83:G83"/>
    <mergeCell ref="H83:J83"/>
    <mergeCell ref="H84:J84"/>
    <mergeCell ref="A87:G87"/>
    <mergeCell ref="C59:D59"/>
    <mergeCell ref="A60:B60"/>
    <mergeCell ref="C60:D60"/>
    <mergeCell ref="E60:G60"/>
    <mergeCell ref="A61:B61"/>
    <mergeCell ref="C61:D61"/>
    <mergeCell ref="E61:G61"/>
    <mergeCell ref="H61:J61"/>
    <mergeCell ref="A62:D62"/>
    <mergeCell ref="E62:G62"/>
    <mergeCell ref="H78:J78"/>
    <mergeCell ref="A79:B79"/>
    <mergeCell ref="C79:D79"/>
    <mergeCell ref="E79:G79"/>
    <mergeCell ref="H79:J79"/>
    <mergeCell ref="A69:J69"/>
    <mergeCell ref="A71:B71"/>
    <mergeCell ref="E77:G77"/>
    <mergeCell ref="H77:J77"/>
    <mergeCell ref="H56:J56"/>
    <mergeCell ref="A55:B55"/>
    <mergeCell ref="C55:D55"/>
    <mergeCell ref="E55:G55"/>
    <mergeCell ref="H55:J55"/>
    <mergeCell ref="A56:D56"/>
    <mergeCell ref="E56:G56"/>
    <mergeCell ref="A57:J57"/>
    <mergeCell ref="A58:B58"/>
    <mergeCell ref="H72:J72"/>
    <mergeCell ref="H58:J58"/>
    <mergeCell ref="H59:J59"/>
    <mergeCell ref="A74:G74"/>
    <mergeCell ref="A52:B52"/>
    <mergeCell ref="C52:D52"/>
    <mergeCell ref="E52:G52"/>
    <mergeCell ref="H52:J52"/>
    <mergeCell ref="A53:B53"/>
    <mergeCell ref="C53:D53"/>
    <mergeCell ref="A54:B54"/>
    <mergeCell ref="C54:D54"/>
    <mergeCell ref="E54:G54"/>
    <mergeCell ref="H54:J54"/>
    <mergeCell ref="E53:G53"/>
    <mergeCell ref="H53:J53"/>
    <mergeCell ref="A2:C2"/>
    <mergeCell ref="D2:J2"/>
    <mergeCell ref="A3:J3"/>
    <mergeCell ref="A5:J5"/>
    <mergeCell ref="B6:D6"/>
    <mergeCell ref="B7:D7"/>
    <mergeCell ref="B8:D8"/>
    <mergeCell ref="E8:J8"/>
    <mergeCell ref="A4:J4"/>
    <mergeCell ref="E6:J6"/>
    <mergeCell ref="E7:J7"/>
    <mergeCell ref="B9:D9"/>
    <mergeCell ref="E9:J9"/>
    <mergeCell ref="B10:D10"/>
    <mergeCell ref="E10:J10"/>
    <mergeCell ref="B11:D11"/>
    <mergeCell ref="E11:J11"/>
    <mergeCell ref="A12:D12"/>
    <mergeCell ref="E12:J12"/>
    <mergeCell ref="A14:J14"/>
    <mergeCell ref="E13:J13"/>
    <mergeCell ref="A13:D13"/>
    <mergeCell ref="A15:J15"/>
    <mergeCell ref="A16:J16"/>
    <mergeCell ref="H87:J87"/>
    <mergeCell ref="A80:B80"/>
    <mergeCell ref="C80:D80"/>
    <mergeCell ref="E80:G80"/>
    <mergeCell ref="H80:J80"/>
    <mergeCell ref="A81:B81"/>
    <mergeCell ref="C81:D81"/>
    <mergeCell ref="E81:G81"/>
    <mergeCell ref="H81:J81"/>
    <mergeCell ref="A82:B82"/>
    <mergeCell ref="C82:D82"/>
    <mergeCell ref="E82:G82"/>
    <mergeCell ref="H82:J82"/>
    <mergeCell ref="A83:B83"/>
    <mergeCell ref="C83:D83"/>
    <mergeCell ref="A76:J76"/>
    <mergeCell ref="A77:B77"/>
    <mergeCell ref="C77:D77"/>
    <mergeCell ref="A78:B78"/>
    <mergeCell ref="C78:D78"/>
    <mergeCell ref="E78:G78"/>
    <mergeCell ref="A72:B72"/>
    <mergeCell ref="E29:G29"/>
    <mergeCell ref="H29:J29"/>
    <mergeCell ref="A31:J31"/>
    <mergeCell ref="C32:D32"/>
    <mergeCell ref="E32:G32"/>
    <mergeCell ref="H32:J32"/>
    <mergeCell ref="C27:D27"/>
    <mergeCell ref="E27:G27"/>
    <mergeCell ref="H27:J27"/>
    <mergeCell ref="C28:D28"/>
    <mergeCell ref="E28:G28"/>
    <mergeCell ref="H28:J28"/>
    <mergeCell ref="E30:G30"/>
    <mergeCell ref="A27:B27"/>
    <mergeCell ref="A28:B28"/>
    <mergeCell ref="A29:B29"/>
    <mergeCell ref="C29:D29"/>
    <mergeCell ref="A30:D30"/>
    <mergeCell ref="H30:J30"/>
    <mergeCell ref="A32:B32"/>
    <mergeCell ref="E17:G17"/>
    <mergeCell ref="H17:J17"/>
    <mergeCell ref="E18:G18"/>
    <mergeCell ref="H18:J18"/>
    <mergeCell ref="B17:D17"/>
    <mergeCell ref="B18:D18"/>
    <mergeCell ref="A19:G19"/>
    <mergeCell ref="H19:J19"/>
    <mergeCell ref="B20:D20"/>
    <mergeCell ref="E20:G20"/>
    <mergeCell ref="H20:J20"/>
    <mergeCell ref="A21:J21"/>
    <mergeCell ref="A22:B22"/>
    <mergeCell ref="E25:G25"/>
    <mergeCell ref="H25:J25"/>
    <mergeCell ref="C26:D26"/>
    <mergeCell ref="E26:G26"/>
    <mergeCell ref="H26:J26"/>
    <mergeCell ref="C23:D23"/>
    <mergeCell ref="E23:G23"/>
    <mergeCell ref="H23:J23"/>
    <mergeCell ref="C24:D24"/>
    <mergeCell ref="E24:G24"/>
    <mergeCell ref="H24:J24"/>
    <mergeCell ref="C22:D22"/>
    <mergeCell ref="E22:G22"/>
    <mergeCell ref="H22:J22"/>
    <mergeCell ref="A23:B23"/>
    <mergeCell ref="A24:B24"/>
    <mergeCell ref="A25:B25"/>
    <mergeCell ref="A26:B26"/>
    <mergeCell ref="C25:D25"/>
    <mergeCell ref="A33:B33"/>
    <mergeCell ref="A34:B34"/>
    <mergeCell ref="A35:B35"/>
    <mergeCell ref="A36:G36"/>
    <mergeCell ref="C33:D33"/>
    <mergeCell ref="E33:G33"/>
    <mergeCell ref="H33:J33"/>
    <mergeCell ref="C34:D34"/>
    <mergeCell ref="E34:G34"/>
    <mergeCell ref="H34:J34"/>
    <mergeCell ref="A48:J48"/>
    <mergeCell ref="A49:B49"/>
    <mergeCell ref="C49:D49"/>
    <mergeCell ref="A50:B50"/>
    <mergeCell ref="C50:D50"/>
    <mergeCell ref="H50:J50"/>
    <mergeCell ref="C35:D35"/>
    <mergeCell ref="E35:G35"/>
    <mergeCell ref="H35:J35"/>
    <mergeCell ref="H36:J36"/>
    <mergeCell ref="A37:D37"/>
    <mergeCell ref="E37:J37"/>
    <mergeCell ref="A39:J39"/>
    <mergeCell ref="A40:B40"/>
    <mergeCell ref="C40:D40"/>
    <mergeCell ref="A41:B41"/>
    <mergeCell ref="C41:D41"/>
    <mergeCell ref="H41:J41"/>
    <mergeCell ref="A42:B42"/>
    <mergeCell ref="C42:D42"/>
    <mergeCell ref="E42:G42"/>
    <mergeCell ref="H42:J42"/>
    <mergeCell ref="H44:J44"/>
    <mergeCell ref="A38:J38"/>
    <mergeCell ref="H40:J40"/>
    <mergeCell ref="A43:B43"/>
    <mergeCell ref="A44:B44"/>
    <mergeCell ref="C43:D43"/>
    <mergeCell ref="E43:G43"/>
    <mergeCell ref="H43:J43"/>
    <mergeCell ref="H46:J46"/>
    <mergeCell ref="H74:J74"/>
    <mergeCell ref="C71:D71"/>
    <mergeCell ref="H64:J64"/>
    <mergeCell ref="A66:D66"/>
    <mergeCell ref="C58:D58"/>
    <mergeCell ref="A59:B59"/>
    <mergeCell ref="A67:D67"/>
    <mergeCell ref="E67:J67"/>
    <mergeCell ref="A70:B70"/>
    <mergeCell ref="C70:D70"/>
    <mergeCell ref="E70:G70"/>
    <mergeCell ref="H70:J70"/>
    <mergeCell ref="H71:J71"/>
    <mergeCell ref="E66:G66"/>
    <mergeCell ref="H66:J66"/>
    <mergeCell ref="C72:D72"/>
    <mergeCell ref="E72:G72"/>
    <mergeCell ref="A1:J1"/>
    <mergeCell ref="E73:G73"/>
    <mergeCell ref="H73:J73"/>
    <mergeCell ref="H60:J60"/>
    <mergeCell ref="H62:J62"/>
    <mergeCell ref="A65:B65"/>
    <mergeCell ref="C65:D65"/>
    <mergeCell ref="H65:J65"/>
    <mergeCell ref="A63:J63"/>
    <mergeCell ref="A64:B64"/>
    <mergeCell ref="C64:D64"/>
    <mergeCell ref="H49:J49"/>
    <mergeCell ref="E51:G51"/>
    <mergeCell ref="H51:J51"/>
    <mergeCell ref="E45:G45"/>
    <mergeCell ref="H45:J45"/>
    <mergeCell ref="A45:B45"/>
    <mergeCell ref="C45:D45"/>
    <mergeCell ref="A73:B73"/>
    <mergeCell ref="C73:D73"/>
    <mergeCell ref="A51:B51"/>
    <mergeCell ref="C51:D51"/>
    <mergeCell ref="C44:D44"/>
    <mergeCell ref="E44:G44"/>
  </mergeCells>
  <pageMargins left="1.02362204724409" right="0.62992125984252001" top="1.37795275590551" bottom="1.37795275590551" header="0.511811023622047" footer="0.511811023622047"/>
  <pageSetup paperSize="9" orientation="portrait" r:id="rId1"/>
  <rowBreaks count="2" manualBreakCount="2">
    <brk id="37" max="9" man="1"/>
    <brk id="68" max="9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24994659260841701"/>
  </sheetPr>
  <dimension ref="A1:K89"/>
  <sheetViews>
    <sheetView view="pageBreakPreview" zoomScaleNormal="100" zoomScaleSheetLayoutView="100" workbookViewId="0">
      <selection activeCell="A48" sqref="A48:J48"/>
    </sheetView>
  </sheetViews>
  <sheetFormatPr defaultRowHeight="15" x14ac:dyDescent="0.25"/>
  <cols>
    <col min="1" max="1" width="2.85546875" style="134" customWidth="1"/>
    <col min="2" max="2" width="2" style="134" bestFit="1" customWidth="1"/>
    <col min="3" max="3" width="15.28515625" style="134" customWidth="1"/>
    <col min="4" max="4" width="35.7109375" style="134" customWidth="1"/>
    <col min="5" max="7" width="3.140625" style="134" customWidth="1"/>
    <col min="8" max="8" width="4.140625" style="161" customWidth="1"/>
    <col min="9" max="9" width="3.7109375" style="161" hidden="1" customWidth="1"/>
    <col min="10" max="10" width="14.85546875" style="161" customWidth="1"/>
    <col min="11" max="16384" width="9.140625" style="134"/>
  </cols>
  <sheetData>
    <row r="1" spans="1:11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1" ht="22.5" customHeight="1" thickBot="1" x14ac:dyDescent="0.3">
      <c r="A2" s="554" t="s">
        <v>0</v>
      </c>
      <c r="B2" s="555"/>
      <c r="C2" s="556"/>
      <c r="D2" s="557" t="s">
        <v>322</v>
      </c>
      <c r="E2" s="558"/>
      <c r="F2" s="558"/>
      <c r="G2" s="558"/>
      <c r="H2" s="558"/>
      <c r="I2" s="558"/>
      <c r="J2" s="559"/>
      <c r="K2" s="136"/>
    </row>
    <row r="3" spans="1:11" ht="11.25" customHeight="1" thickBot="1" x14ac:dyDescent="0.3"/>
    <row r="4" spans="1:11" ht="30" customHeight="1" thickBot="1" x14ac:dyDescent="0.3">
      <c r="A4" s="564" t="s">
        <v>30</v>
      </c>
      <c r="B4" s="565"/>
      <c r="C4" s="565"/>
      <c r="D4" s="565"/>
      <c r="E4" s="565"/>
      <c r="F4" s="565"/>
      <c r="G4" s="565"/>
      <c r="H4" s="565"/>
      <c r="I4" s="565"/>
      <c r="J4" s="566"/>
      <c r="K4" s="136"/>
    </row>
    <row r="5" spans="1:11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1" x14ac:dyDescent="0.25">
      <c r="A6" s="123" t="s">
        <v>2</v>
      </c>
      <c r="B6" s="606" t="s">
        <v>1</v>
      </c>
      <c r="C6" s="607"/>
      <c r="D6" s="608"/>
      <c r="E6" s="567">
        <v>1589.96</v>
      </c>
      <c r="F6" s="568"/>
      <c r="G6" s="568"/>
      <c r="H6" s="568"/>
      <c r="I6" s="568"/>
      <c r="J6" s="568"/>
      <c r="K6" s="136"/>
    </row>
    <row r="7" spans="1:11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36"/>
    </row>
    <row r="8" spans="1:11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36"/>
    </row>
    <row r="9" spans="1:11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36"/>
    </row>
    <row r="10" spans="1:11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36"/>
    </row>
    <row r="11" spans="1:11" ht="29.25" customHeight="1" thickBot="1" x14ac:dyDescent="0.3">
      <c r="A11" s="122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36"/>
    </row>
    <row r="12" spans="1:11" ht="15.75" thickBot="1" x14ac:dyDescent="0.3">
      <c r="A12" s="458" t="s">
        <v>325</v>
      </c>
      <c r="B12" s="459"/>
      <c r="C12" s="459"/>
      <c r="D12" s="460"/>
      <c r="E12" s="547">
        <f>SUM(E6:J11)</f>
        <v>1589.96</v>
      </c>
      <c r="F12" s="485"/>
      <c r="G12" s="485"/>
      <c r="H12" s="485"/>
      <c r="I12" s="485"/>
      <c r="J12" s="486"/>
      <c r="K12" s="136"/>
    </row>
    <row r="13" spans="1:11" ht="30" customHeight="1" x14ac:dyDescent="0.25">
      <c r="A13" s="551" t="s">
        <v>29</v>
      </c>
      <c r="B13" s="552"/>
      <c r="C13" s="552"/>
      <c r="D13" s="553"/>
      <c r="E13" s="548">
        <f>E12*E30</f>
        <v>585.10528000000011</v>
      </c>
      <c r="F13" s="549"/>
      <c r="G13" s="549"/>
      <c r="H13" s="549"/>
      <c r="I13" s="549"/>
      <c r="J13" s="550"/>
      <c r="K13" s="136"/>
    </row>
    <row r="14" spans="1:11" ht="9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1" ht="30" customHeight="1" thickBot="1" x14ac:dyDescent="0.3">
      <c r="A15" s="564" t="s">
        <v>32</v>
      </c>
      <c r="B15" s="565"/>
      <c r="C15" s="565"/>
      <c r="D15" s="565"/>
      <c r="E15" s="565"/>
      <c r="F15" s="565"/>
      <c r="G15" s="565"/>
      <c r="H15" s="565"/>
      <c r="I15" s="565"/>
      <c r="J15" s="566"/>
      <c r="K15" s="136"/>
    </row>
    <row r="16" spans="1:11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x14ac:dyDescent="0.25">
      <c r="A17" s="189" t="s">
        <v>2</v>
      </c>
      <c r="B17" s="510" t="s">
        <v>125</v>
      </c>
      <c r="C17" s="520"/>
      <c r="D17" s="511"/>
      <c r="E17" s="517">
        <v>8.3299999999999999E-2</v>
      </c>
      <c r="F17" s="518"/>
      <c r="G17" s="519"/>
      <c r="H17" s="516">
        <f>E17*E12</f>
        <v>132.443668</v>
      </c>
      <c r="I17" s="516"/>
      <c r="J17" s="516"/>
      <c r="K17" s="136"/>
    </row>
    <row r="18" spans="1:11" x14ac:dyDescent="0.25">
      <c r="A18" s="123" t="s">
        <v>7</v>
      </c>
      <c r="B18" s="482" t="s">
        <v>35</v>
      </c>
      <c r="C18" s="521"/>
      <c r="D18" s="483"/>
      <c r="E18" s="287">
        <v>0.121</v>
      </c>
      <c r="F18" s="288"/>
      <c r="G18" s="289"/>
      <c r="H18" s="450">
        <f>E18*E12</f>
        <v>192.38515999999998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324.82882799999999</v>
      </c>
      <c r="I19" s="525"/>
      <c r="J19" s="525"/>
      <c r="K19" s="136"/>
    </row>
    <row r="20" spans="1:11" ht="30" customHeight="1" thickBot="1" x14ac:dyDescent="0.3">
      <c r="A20" s="122" t="s">
        <v>8</v>
      </c>
      <c r="B20" s="526" t="s">
        <v>37</v>
      </c>
      <c r="C20" s="527"/>
      <c r="D20" s="528"/>
      <c r="E20" s="467">
        <v>7.8200000000000006E-2</v>
      </c>
      <c r="F20" s="468"/>
      <c r="G20" s="469"/>
      <c r="H20" s="470">
        <f>E12*E20</f>
        <v>124.33487200000002</v>
      </c>
      <c r="I20" s="471"/>
      <c r="J20" s="472"/>
      <c r="K20" s="136"/>
    </row>
    <row r="21" spans="1:11" ht="30.75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604" t="s">
        <v>2</v>
      </c>
      <c r="B22" s="605"/>
      <c r="C22" s="510" t="s">
        <v>3</v>
      </c>
      <c r="D22" s="511"/>
      <c r="E22" s="515">
        <v>0.2</v>
      </c>
      <c r="F22" s="515"/>
      <c r="G22" s="515"/>
      <c r="H22" s="516">
        <f>E22*(E12+H19)</f>
        <v>382.95776560000002</v>
      </c>
      <c r="I22" s="516"/>
      <c r="J22" s="516"/>
      <c r="K22" s="136"/>
    </row>
    <row r="23" spans="1:11" x14ac:dyDescent="0.25">
      <c r="A23" s="532" t="s">
        <v>7</v>
      </c>
      <c r="B23" s="53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47.869720700000002</v>
      </c>
      <c r="I23" s="450"/>
      <c r="J23" s="450"/>
      <c r="K23" s="136"/>
    </row>
    <row r="24" spans="1:11" x14ac:dyDescent="0.25">
      <c r="A24" s="532" t="s">
        <v>8</v>
      </c>
      <c r="B24" s="533"/>
      <c r="C24" s="512" t="s">
        <v>42</v>
      </c>
      <c r="D24" s="513"/>
      <c r="E24" s="514">
        <v>0.03</v>
      </c>
      <c r="F24" s="514"/>
      <c r="G24" s="514"/>
      <c r="H24" s="450">
        <f>E24*(E12+H19)</f>
        <v>57.443664839999997</v>
      </c>
      <c r="I24" s="450"/>
      <c r="J24" s="450"/>
      <c r="K24" s="136"/>
    </row>
    <row r="25" spans="1:11" x14ac:dyDescent="0.25">
      <c r="A25" s="532" t="s">
        <v>9</v>
      </c>
      <c r="B25" s="53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28.721832419999998</v>
      </c>
      <c r="I25" s="450"/>
      <c r="J25" s="450"/>
      <c r="K25" s="136"/>
    </row>
    <row r="26" spans="1:11" x14ac:dyDescent="0.25">
      <c r="A26" s="532" t="s">
        <v>10</v>
      </c>
      <c r="B26" s="533"/>
      <c r="C26" s="482" t="s">
        <v>44</v>
      </c>
      <c r="D26" s="483"/>
      <c r="E26" s="497">
        <v>0.01</v>
      </c>
      <c r="F26" s="497"/>
      <c r="G26" s="497"/>
      <c r="H26" s="450">
        <f>E26*(E12+H19)</f>
        <v>19.14788828</v>
      </c>
      <c r="I26" s="450"/>
      <c r="J26" s="450"/>
      <c r="K26" s="136"/>
    </row>
    <row r="27" spans="1:11" x14ac:dyDescent="0.25">
      <c r="A27" s="532" t="s">
        <v>11</v>
      </c>
      <c r="B27" s="53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11.488732968000001</v>
      </c>
      <c r="I27" s="450"/>
      <c r="J27" s="450"/>
      <c r="K27" s="136"/>
    </row>
    <row r="28" spans="1:11" x14ac:dyDescent="0.25">
      <c r="A28" s="532" t="s">
        <v>39</v>
      </c>
      <c r="B28" s="533"/>
      <c r="C28" s="482" t="s">
        <v>5</v>
      </c>
      <c r="D28" s="483"/>
      <c r="E28" s="497">
        <v>2E-3</v>
      </c>
      <c r="F28" s="497"/>
      <c r="G28" s="497"/>
      <c r="H28" s="450">
        <f>E28*(E12+H19)</f>
        <v>3.8295776560000001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153.18310624</v>
      </c>
      <c r="I29" s="450"/>
      <c r="J29" s="450"/>
      <c r="K29" s="136"/>
    </row>
    <row r="30" spans="1:11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704.64228870400007</v>
      </c>
      <c r="I30" s="592"/>
      <c r="J30" s="592"/>
      <c r="K30" s="136"/>
    </row>
    <row r="31" spans="1:11" ht="15.75" thickBot="1" x14ac:dyDescent="0.3">
      <c r="A31" s="570" t="s">
        <v>48</v>
      </c>
      <c r="B31" s="571"/>
      <c r="C31" s="571"/>
      <c r="D31" s="571"/>
      <c r="E31" s="571"/>
      <c r="F31" s="571"/>
      <c r="G31" s="571"/>
      <c r="H31" s="459"/>
      <c r="I31" s="571"/>
      <c r="J31" s="572"/>
      <c r="K31" s="136"/>
    </row>
    <row r="32" spans="1:11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(3.9*2*16)-6%*E6</f>
        <v>29.4024</v>
      </c>
      <c r="I32" s="450"/>
      <c r="J32" s="450"/>
      <c r="K32" s="136"/>
    </row>
    <row r="33" spans="1:11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21.63*16-20%</f>
        <v>345.88</v>
      </c>
      <c r="I33" s="450"/>
      <c r="J33" s="450"/>
      <c r="K33" s="136"/>
    </row>
    <row r="34" spans="1:11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36"/>
    </row>
    <row r="35" spans="1:11" x14ac:dyDescent="0.25">
      <c r="A35" s="482" t="s">
        <v>9</v>
      </c>
      <c r="B35" s="483"/>
      <c r="C35" s="478" t="s">
        <v>149</v>
      </c>
      <c r="D35" s="479"/>
      <c r="E35" s="497"/>
      <c r="F35" s="497"/>
      <c r="G35" s="497"/>
      <c r="H35" s="450">
        <v>25.95</v>
      </c>
      <c r="I35" s="450"/>
      <c r="J35" s="450"/>
      <c r="K35" s="136"/>
    </row>
    <row r="36" spans="1:11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437.80239999999998</v>
      </c>
      <c r="I36" s="451"/>
      <c r="J36" s="451"/>
      <c r="K36" s="136"/>
    </row>
    <row r="37" spans="1:11" ht="15.75" thickBot="1" x14ac:dyDescent="0.3">
      <c r="A37" s="458" t="s">
        <v>72</v>
      </c>
      <c r="B37" s="459"/>
      <c r="C37" s="459"/>
      <c r="D37" s="460"/>
      <c r="E37" s="587">
        <f>H19+H30+H36</f>
        <v>1467.273516704</v>
      </c>
      <c r="F37" s="498"/>
      <c r="G37" s="498"/>
      <c r="H37" s="498"/>
      <c r="I37" s="498"/>
      <c r="J37" s="499"/>
      <c r="K37" s="136"/>
    </row>
    <row r="38" spans="1:11" ht="9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</row>
    <row r="39" spans="1:11" ht="30" customHeight="1" thickBot="1" x14ac:dyDescent="0.3">
      <c r="A39" s="564" t="s">
        <v>129</v>
      </c>
      <c r="B39" s="565"/>
      <c r="C39" s="565"/>
      <c r="D39" s="565"/>
      <c r="E39" s="565"/>
      <c r="F39" s="565"/>
      <c r="G39" s="565"/>
      <c r="H39" s="565"/>
      <c r="I39" s="565"/>
      <c r="J39" s="566"/>
      <c r="K39" s="136"/>
    </row>
    <row r="40" spans="1:11" x14ac:dyDescent="0.25">
      <c r="A40" s="452" t="s">
        <v>2</v>
      </c>
      <c r="B40" s="453"/>
      <c r="C40" s="452" t="s">
        <v>51</v>
      </c>
      <c r="D40" s="453"/>
      <c r="E40" s="157"/>
      <c r="F40" s="158"/>
      <c r="G40" s="159"/>
      <c r="H40" s="456">
        <f>E12/12*5%</f>
        <v>6.624833333333334</v>
      </c>
      <c r="I40" s="457"/>
      <c r="J40" s="453"/>
      <c r="K40" s="136"/>
    </row>
    <row r="41" spans="1:11" x14ac:dyDescent="0.25">
      <c r="A41" s="452" t="s">
        <v>7</v>
      </c>
      <c r="B41" s="453"/>
      <c r="C41" s="452" t="s">
        <v>52</v>
      </c>
      <c r="D41" s="453"/>
      <c r="E41" s="157"/>
      <c r="F41" s="158"/>
      <c r="G41" s="159"/>
      <c r="H41" s="456">
        <f>H40*8%</f>
        <v>0.52998666666666672</v>
      </c>
      <c r="I41" s="457"/>
      <c r="J41" s="453"/>
      <c r="K41" s="136"/>
    </row>
    <row r="42" spans="1:11" ht="30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481" t="s">
        <v>9</v>
      </c>
      <c r="B43" s="481"/>
      <c r="C43" s="482" t="s">
        <v>54</v>
      </c>
      <c r="D43" s="483"/>
      <c r="E43" s="480"/>
      <c r="F43" s="480"/>
      <c r="G43" s="480"/>
      <c r="H43" s="450">
        <f>E12/30/12*7*100%</f>
        <v>30.915888888888887</v>
      </c>
      <c r="I43" s="450"/>
      <c r="J43" s="450"/>
      <c r="K43" s="136"/>
    </row>
    <row r="44" spans="1:11" ht="26.25" customHeight="1" x14ac:dyDescent="0.25">
      <c r="A44" s="481" t="s">
        <v>10</v>
      </c>
      <c r="B44" s="481"/>
      <c r="C44" s="478" t="s">
        <v>93</v>
      </c>
      <c r="D44" s="479"/>
      <c r="E44" s="480"/>
      <c r="F44" s="480"/>
      <c r="G44" s="480"/>
      <c r="H44" s="450">
        <f>H43*39.8%</f>
        <v>12.304523777777776</v>
      </c>
      <c r="I44" s="450"/>
      <c r="J44" s="450"/>
      <c r="K44" s="136"/>
    </row>
    <row r="45" spans="1:11" ht="30" customHeight="1" thickBot="1" x14ac:dyDescent="0.3">
      <c r="A45" s="473" t="s">
        <v>11</v>
      </c>
      <c r="B45" s="474"/>
      <c r="C45" s="475" t="s">
        <v>53</v>
      </c>
      <c r="D45" s="476"/>
      <c r="E45" s="467"/>
      <c r="F45" s="468"/>
      <c r="G45" s="469"/>
      <c r="H45" s="470">
        <f>E12*5%</f>
        <v>79.498000000000005</v>
      </c>
      <c r="I45" s="471"/>
      <c r="J45" s="472"/>
      <c r="K45" s="136"/>
    </row>
    <row r="46" spans="1:11" ht="15.75" thickBot="1" x14ac:dyDescent="0.3">
      <c r="A46" s="570" t="s">
        <v>326</v>
      </c>
      <c r="B46" s="571"/>
      <c r="C46" s="571"/>
      <c r="D46" s="571"/>
      <c r="E46" s="571"/>
      <c r="F46" s="571"/>
      <c r="G46" s="572"/>
      <c r="H46" s="547">
        <f>SUM(H40:J45)</f>
        <v>129.87323266666667</v>
      </c>
      <c r="I46" s="485"/>
      <c r="J46" s="486"/>
      <c r="K46" s="136"/>
    </row>
    <row r="47" spans="1:11" ht="9" customHeight="1" thickBot="1" x14ac:dyDescent="0.3">
      <c r="E47" s="160"/>
      <c r="F47" s="160"/>
      <c r="G47" s="160"/>
      <c r="K47" s="136"/>
    </row>
    <row r="48" spans="1:11" ht="30" customHeight="1" thickBot="1" x14ac:dyDescent="0.3">
      <c r="A48" s="494" t="s">
        <v>418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461" t="s">
        <v>2</v>
      </c>
      <c r="B49" s="462"/>
      <c r="C49" s="461" t="s">
        <v>56</v>
      </c>
      <c r="D49" s="462"/>
      <c r="E49" s="190"/>
      <c r="F49" s="191"/>
      <c r="G49" s="192"/>
      <c r="H49" s="465">
        <f>E20/12*5%</f>
        <v>3.2583333333333336E-4</v>
      </c>
      <c r="I49" s="466"/>
      <c r="J49" s="462"/>
      <c r="K49" s="136"/>
    </row>
    <row r="50" spans="1:11" x14ac:dyDescent="0.25">
      <c r="A50" s="452" t="s">
        <v>7</v>
      </c>
      <c r="B50" s="453"/>
      <c r="C50" s="452" t="s">
        <v>57</v>
      </c>
      <c r="D50" s="453"/>
      <c r="E50" s="157"/>
      <c r="F50" s="158"/>
      <c r="G50" s="159"/>
      <c r="H50" s="456">
        <f>E12/30/12</f>
        <v>4.4165555555555551</v>
      </c>
      <c r="I50" s="457"/>
      <c r="J50" s="453"/>
      <c r="K50" s="136"/>
    </row>
    <row r="51" spans="1:11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0.3312416666666666</v>
      </c>
      <c r="I51" s="450"/>
      <c r="J51" s="450"/>
      <c r="K51" s="136"/>
    </row>
    <row r="52" spans="1:11" ht="30" customHeight="1" x14ac:dyDescent="0.25">
      <c r="A52" s="481" t="s">
        <v>9</v>
      </c>
      <c r="B52" s="481"/>
      <c r="C52" s="284" t="s">
        <v>59</v>
      </c>
      <c r="D52" s="286"/>
      <c r="E52" s="480"/>
      <c r="F52" s="480"/>
      <c r="G52" s="480"/>
      <c r="H52" s="450">
        <f>E12/30/12*15*8%</f>
        <v>5.2998666666666656</v>
      </c>
      <c r="I52" s="450"/>
      <c r="J52" s="450"/>
      <c r="K52" s="136"/>
    </row>
    <row r="53" spans="1:11" x14ac:dyDescent="0.25">
      <c r="A53" s="481" t="s">
        <v>10</v>
      </c>
      <c r="B53" s="481"/>
      <c r="C53" s="478" t="s">
        <v>60</v>
      </c>
      <c r="D53" s="479"/>
      <c r="E53" s="480"/>
      <c r="F53" s="480"/>
      <c r="G53" s="480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481" t="s">
        <v>11</v>
      </c>
      <c r="B54" s="481"/>
      <c r="C54" s="478" t="s">
        <v>61</v>
      </c>
      <c r="D54" s="479"/>
      <c r="E54" s="480"/>
      <c r="F54" s="480"/>
      <c r="G54" s="480"/>
      <c r="H54" s="450">
        <f>E12/30/12*5*40%</f>
        <v>8.8331111111111102</v>
      </c>
      <c r="I54" s="450"/>
      <c r="J54" s="450"/>
      <c r="K54" s="136"/>
    </row>
    <row r="55" spans="1:11" ht="28.5" customHeight="1" x14ac:dyDescent="0.25">
      <c r="A55" s="481" t="s">
        <v>39</v>
      </c>
      <c r="B55" s="481"/>
      <c r="C55" s="478" t="s">
        <v>62</v>
      </c>
      <c r="D55" s="479"/>
      <c r="E55" s="480"/>
      <c r="F55" s="480"/>
      <c r="G55" s="480"/>
      <c r="H55" s="450">
        <f>SUM(H49:J54)*39.8%</f>
        <v>7.5162343116666639</v>
      </c>
      <c r="I55" s="450"/>
      <c r="J55" s="450"/>
      <c r="K55" s="136"/>
    </row>
    <row r="56" spans="1:11" ht="15.75" thickBot="1" x14ac:dyDescent="0.3">
      <c r="A56" s="593" t="s">
        <v>36</v>
      </c>
      <c r="B56" s="594"/>
      <c r="C56" s="594"/>
      <c r="D56" s="595"/>
      <c r="E56" s="596"/>
      <c r="F56" s="597"/>
      <c r="G56" s="598"/>
      <c r="H56" s="599">
        <f>SUM(H49:J55)</f>
        <v>26.401245144999994</v>
      </c>
      <c r="I56" s="600"/>
      <c r="J56" s="601"/>
      <c r="K56" s="136"/>
    </row>
    <row r="57" spans="1:11" ht="15.75" thickBot="1" x14ac:dyDescent="0.3">
      <c r="A57" s="570" t="s">
        <v>127</v>
      </c>
      <c r="B57" s="571"/>
      <c r="C57" s="571"/>
      <c r="D57" s="571"/>
      <c r="E57" s="571"/>
      <c r="F57" s="571"/>
      <c r="G57" s="571"/>
      <c r="H57" s="459"/>
      <c r="I57" s="571"/>
      <c r="J57" s="572"/>
      <c r="K57" s="136"/>
    </row>
    <row r="58" spans="1:11" ht="31.5" customHeight="1" x14ac:dyDescent="0.25">
      <c r="A58" s="452" t="s">
        <v>2</v>
      </c>
      <c r="B58" s="453"/>
      <c r="C58" s="454" t="s">
        <v>64</v>
      </c>
      <c r="D58" s="455"/>
      <c r="E58" s="157"/>
      <c r="F58" s="158"/>
      <c r="G58" s="159"/>
      <c r="H58" s="456">
        <f>((((E12+(E12/3))*0.3333)/12)*2%)</f>
        <v>1.1776303733333333</v>
      </c>
      <c r="I58" s="457"/>
      <c r="J58" s="453"/>
      <c r="K58" s="136"/>
    </row>
    <row r="59" spans="1:11" ht="43.5" customHeight="1" x14ac:dyDescent="0.25">
      <c r="A59" s="452" t="s">
        <v>7</v>
      </c>
      <c r="B59" s="453"/>
      <c r="C59" s="454" t="s">
        <v>65</v>
      </c>
      <c r="D59" s="455"/>
      <c r="E59" s="157"/>
      <c r="F59" s="158"/>
      <c r="G59" s="159"/>
      <c r="H59" s="456">
        <f>H58*39.8%</f>
        <v>0.46869688858666664</v>
      </c>
      <c r="I59" s="457"/>
      <c r="J59" s="453"/>
      <c r="K59" s="136"/>
    </row>
    <row r="60" spans="1:11" ht="42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4.5655409546942396</v>
      </c>
      <c r="I60" s="450"/>
      <c r="J60" s="450"/>
      <c r="K60" s="136"/>
    </row>
    <row r="61" spans="1:11" x14ac:dyDescent="0.25">
      <c r="A61" s="481" t="s">
        <v>9</v>
      </c>
      <c r="B61" s="481"/>
      <c r="C61" s="482" t="s">
        <v>67</v>
      </c>
      <c r="D61" s="483"/>
      <c r="E61" s="480"/>
      <c r="F61" s="480"/>
      <c r="G61" s="480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6.2118682166142394</v>
      </c>
      <c r="I62" s="592"/>
      <c r="J62" s="592"/>
      <c r="K62" s="136"/>
    </row>
    <row r="63" spans="1:11" ht="15.75" thickBot="1" x14ac:dyDescent="0.3">
      <c r="A63" s="570" t="s">
        <v>126</v>
      </c>
      <c r="B63" s="571"/>
      <c r="C63" s="571"/>
      <c r="D63" s="571"/>
      <c r="E63" s="571"/>
      <c r="F63" s="571"/>
      <c r="G63" s="571"/>
      <c r="H63" s="459"/>
      <c r="I63" s="571"/>
      <c r="J63" s="572"/>
      <c r="K63" s="136"/>
    </row>
    <row r="64" spans="1:11" ht="26.25" customHeight="1" x14ac:dyDescent="0.25">
      <c r="A64" s="452" t="s">
        <v>2</v>
      </c>
      <c r="B64" s="453"/>
      <c r="C64" s="454" t="s">
        <v>69</v>
      </c>
      <c r="D64" s="455"/>
      <c r="E64" s="157"/>
      <c r="F64" s="158"/>
      <c r="G64" s="159"/>
      <c r="H64" s="456">
        <f>((((E18+(E18/3))*0.3333)/12)*2%)</f>
        <v>8.9620666666666654E-5</v>
      </c>
      <c r="I64" s="457"/>
      <c r="J64" s="453"/>
      <c r="K64" s="136"/>
    </row>
    <row r="65" spans="1:11" ht="27" customHeight="1" x14ac:dyDescent="0.25">
      <c r="A65" s="452" t="s">
        <v>7</v>
      </c>
      <c r="B65" s="453"/>
      <c r="C65" s="454" t="s">
        <v>70</v>
      </c>
      <c r="D65" s="455"/>
      <c r="E65" s="157"/>
      <c r="F65" s="158"/>
      <c r="G65" s="159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1" ht="15.75" thickBot="1" x14ac:dyDescent="0.3">
      <c r="A67" s="458" t="s">
        <v>71</v>
      </c>
      <c r="B67" s="459"/>
      <c r="C67" s="459"/>
      <c r="D67" s="460"/>
      <c r="E67" s="587">
        <f>H66+H62+H56</f>
        <v>32.613238651306233</v>
      </c>
      <c r="F67" s="498"/>
      <c r="G67" s="498"/>
      <c r="H67" s="498"/>
      <c r="I67" s="498"/>
      <c r="J67" s="499"/>
      <c r="K67" s="136"/>
    </row>
    <row r="68" spans="1:11" ht="12" customHeight="1" thickBot="1" x14ac:dyDescent="0.3">
      <c r="A68" s="135"/>
      <c r="B68" s="135"/>
      <c r="C68" s="135"/>
      <c r="D68" s="135"/>
      <c r="E68" s="135"/>
      <c r="F68" s="135"/>
      <c r="G68" s="135"/>
      <c r="H68" s="135"/>
      <c r="I68" s="135"/>
      <c r="J68" s="135"/>
      <c r="K68" s="136"/>
    </row>
    <row r="69" spans="1:11" ht="33" customHeight="1" thickBot="1" x14ac:dyDescent="0.3">
      <c r="A69" s="564" t="s">
        <v>73</v>
      </c>
      <c r="B69" s="565"/>
      <c r="C69" s="565"/>
      <c r="D69" s="565"/>
      <c r="E69" s="565"/>
      <c r="F69" s="565"/>
      <c r="G69" s="565"/>
      <c r="H69" s="565"/>
      <c r="I69" s="565"/>
      <c r="J69" s="566"/>
      <c r="K69" s="136"/>
    </row>
    <row r="70" spans="1:11" x14ac:dyDescent="0.25">
      <c r="A70" s="452" t="s">
        <v>2</v>
      </c>
      <c r="B70" s="453"/>
      <c r="C70" s="452" t="s">
        <v>74</v>
      </c>
      <c r="D70" s="453"/>
      <c r="E70" s="452"/>
      <c r="F70" s="457"/>
      <c r="G70" s="453"/>
      <c r="H70" s="456">
        <v>350</v>
      </c>
      <c r="I70" s="457"/>
      <c r="J70" s="453"/>
      <c r="K70" s="136"/>
    </row>
    <row r="71" spans="1:11" x14ac:dyDescent="0.25">
      <c r="A71" s="452" t="s">
        <v>7</v>
      </c>
      <c r="B71" s="453"/>
      <c r="C71" s="452" t="s">
        <v>75</v>
      </c>
      <c r="D71" s="453"/>
      <c r="E71" s="157"/>
      <c r="F71" s="158"/>
      <c r="G71" s="159"/>
      <c r="H71" s="456">
        <v>5.56</v>
      </c>
      <c r="I71" s="457"/>
      <c r="J71" s="453"/>
      <c r="K71" s="136"/>
    </row>
    <row r="72" spans="1:11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477" t="s">
        <v>9</v>
      </c>
      <c r="B73" s="477"/>
      <c r="C73" s="473" t="s">
        <v>28</v>
      </c>
      <c r="D73" s="474"/>
      <c r="E73" s="448"/>
      <c r="F73" s="448"/>
      <c r="G73" s="448"/>
      <c r="H73" s="449">
        <f>E31/30/12*15*8%</f>
        <v>0</v>
      </c>
      <c r="I73" s="449"/>
      <c r="J73" s="449"/>
      <c r="K73" s="136"/>
    </row>
    <row r="74" spans="1:11" ht="15.75" thickBot="1" x14ac:dyDescent="0.3">
      <c r="A74" s="570" t="s">
        <v>327</v>
      </c>
      <c r="B74" s="571"/>
      <c r="C74" s="571"/>
      <c r="D74" s="571"/>
      <c r="E74" s="571"/>
      <c r="F74" s="571"/>
      <c r="G74" s="572"/>
      <c r="H74" s="585">
        <f>SUM(H70:J73)</f>
        <v>398.31</v>
      </c>
      <c r="I74" s="585"/>
      <c r="J74" s="586"/>
      <c r="K74" s="136"/>
    </row>
    <row r="75" spans="1:11" ht="12" customHeight="1" thickBot="1" x14ac:dyDescent="0.3">
      <c r="E75" s="160"/>
      <c r="F75" s="160"/>
      <c r="G75" s="160"/>
      <c r="K75" s="136"/>
    </row>
    <row r="76" spans="1:11" ht="33" customHeight="1" thickBot="1" x14ac:dyDescent="0.3">
      <c r="A76" s="564" t="s">
        <v>84</v>
      </c>
      <c r="B76" s="565"/>
      <c r="C76" s="565"/>
      <c r="D76" s="565"/>
      <c r="E76" s="565"/>
      <c r="F76" s="565"/>
      <c r="G76" s="565"/>
      <c r="H76" s="565"/>
      <c r="I76" s="565"/>
      <c r="J76" s="566"/>
      <c r="K76" s="136"/>
    </row>
    <row r="77" spans="1:11" x14ac:dyDescent="0.25">
      <c r="A77" s="452" t="s">
        <v>2</v>
      </c>
      <c r="B77" s="453"/>
      <c r="C77" s="452" t="s">
        <v>77</v>
      </c>
      <c r="D77" s="453"/>
      <c r="E77" s="537">
        <v>7.0000000000000007E-2</v>
      </c>
      <c r="F77" s="457"/>
      <c r="G77" s="453"/>
      <c r="H77" s="456">
        <f>(H74+E67+H46+E37+E12)*E77</f>
        <v>253.26209916153812</v>
      </c>
      <c r="I77" s="457"/>
      <c r="J77" s="453"/>
      <c r="K77" s="136"/>
    </row>
    <row r="78" spans="1:11" x14ac:dyDescent="0.25">
      <c r="A78" s="452" t="s">
        <v>7</v>
      </c>
      <c r="B78" s="453"/>
      <c r="C78" s="452" t="s">
        <v>12</v>
      </c>
      <c r="D78" s="453"/>
      <c r="E78" s="537">
        <v>7.5775276633744088E-2</v>
      </c>
      <c r="F78" s="457"/>
      <c r="G78" s="453"/>
      <c r="H78" s="456">
        <f>E78*(H74+E67+H46+E37+E12)</f>
        <v>274.15722321154681</v>
      </c>
      <c r="I78" s="457"/>
      <c r="J78" s="453"/>
      <c r="K78" s="136"/>
    </row>
    <row r="79" spans="1:11" ht="15" customHeight="1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450">
        <f>(H74+E67+H46+E37+E12)/E79</f>
        <v>4219.2769539614837</v>
      </c>
      <c r="I79" s="450"/>
      <c r="J79" s="450"/>
      <c r="K79" s="136"/>
    </row>
    <row r="80" spans="1:11" ht="15" customHeight="1" x14ac:dyDescent="0.25">
      <c r="A80" s="481" t="s">
        <v>9</v>
      </c>
      <c r="B80" s="481"/>
      <c r="C80" s="482" t="s">
        <v>79</v>
      </c>
      <c r="D80" s="483"/>
      <c r="E80" s="480">
        <v>1.6500000000000001E-2</v>
      </c>
      <c r="F80" s="480"/>
      <c r="G80" s="480"/>
      <c r="H80" s="450">
        <f>E80*J88</f>
        <v>53.111850000000004</v>
      </c>
      <c r="I80" s="450"/>
      <c r="J80" s="450"/>
      <c r="K80" s="136"/>
    </row>
    <row r="81" spans="1:11" ht="15" customHeight="1" x14ac:dyDescent="0.25">
      <c r="A81" s="481" t="s">
        <v>9</v>
      </c>
      <c r="B81" s="481"/>
      <c r="C81" s="482" t="s">
        <v>80</v>
      </c>
      <c r="D81" s="483"/>
      <c r="E81" s="480">
        <v>7.5999999999999998E-2</v>
      </c>
      <c r="F81" s="480"/>
      <c r="G81" s="480"/>
      <c r="H81" s="450">
        <f>E81*J88</f>
        <v>244.63640000000001</v>
      </c>
      <c r="I81" s="450"/>
      <c r="J81" s="450"/>
      <c r="K81" s="136"/>
    </row>
    <row r="82" spans="1:11" x14ac:dyDescent="0.25">
      <c r="A82" s="481" t="s">
        <v>10</v>
      </c>
      <c r="B82" s="481"/>
      <c r="C82" s="482" t="s">
        <v>81</v>
      </c>
      <c r="D82" s="483"/>
      <c r="E82" s="480"/>
      <c r="F82" s="480"/>
      <c r="G82" s="480"/>
      <c r="H82" s="450"/>
      <c r="I82" s="450"/>
      <c r="J82" s="450"/>
      <c r="K82" s="136"/>
    </row>
    <row r="83" spans="1:11" ht="15.75" thickBot="1" x14ac:dyDescent="0.3">
      <c r="A83" s="477" t="s">
        <v>11</v>
      </c>
      <c r="B83" s="477"/>
      <c r="C83" s="473" t="s">
        <v>110</v>
      </c>
      <c r="D83" s="474"/>
      <c r="E83" s="448">
        <v>0.05</v>
      </c>
      <c r="F83" s="448"/>
      <c r="G83" s="448"/>
      <c r="H83" s="449">
        <f>E83*J88</f>
        <v>160.94500000000002</v>
      </c>
      <c r="I83" s="449"/>
      <c r="J83" s="449"/>
      <c r="K83" s="136"/>
    </row>
    <row r="84" spans="1:11" ht="15" customHeight="1" thickBot="1" x14ac:dyDescent="0.3">
      <c r="A84" s="570" t="s">
        <v>328</v>
      </c>
      <c r="B84" s="571"/>
      <c r="C84" s="571"/>
      <c r="D84" s="571"/>
      <c r="E84" s="571"/>
      <c r="F84" s="571"/>
      <c r="G84" s="572"/>
      <c r="H84" s="584">
        <f>H77+H78+H80+H81+H83</f>
        <v>986.11257237308496</v>
      </c>
      <c r="I84" s="585"/>
      <c r="J84" s="586"/>
      <c r="K84" s="136"/>
    </row>
    <row r="85" spans="1:11" ht="12" customHeight="1" thickBot="1" x14ac:dyDescent="0.3">
      <c r="E85" s="160"/>
      <c r="F85" s="160"/>
      <c r="G85" s="160"/>
      <c r="K85" s="136"/>
    </row>
    <row r="86" spans="1:11" ht="15" customHeight="1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535">
        <f>SUM(H84+H74+E67+H46+E37+E12)</f>
        <v>4604.1425603950574</v>
      </c>
      <c r="I86" s="535"/>
      <c r="J86" s="536"/>
    </row>
    <row r="88" spans="1:11" x14ac:dyDescent="0.25">
      <c r="J88" s="174">
        <v>3218.9</v>
      </c>
    </row>
    <row r="89" spans="1:11" ht="15.75" thickBot="1" x14ac:dyDescent="0.3">
      <c r="D89" s="175"/>
    </row>
  </sheetData>
  <mergeCells count="229">
    <mergeCell ref="A1:J1"/>
    <mergeCell ref="A2:C2"/>
    <mergeCell ref="D2:J2"/>
    <mergeCell ref="A74:G74"/>
    <mergeCell ref="A46:G46"/>
    <mergeCell ref="B6:D6"/>
    <mergeCell ref="E6:J6"/>
    <mergeCell ref="B7:D7"/>
    <mergeCell ref="E7:J7"/>
    <mergeCell ref="B8:D8"/>
    <mergeCell ref="E8:J8"/>
    <mergeCell ref="A4:J4"/>
    <mergeCell ref="A5:J5"/>
    <mergeCell ref="A12:D12"/>
    <mergeCell ref="E12:J12"/>
    <mergeCell ref="A13:D13"/>
    <mergeCell ref="E13:J13"/>
    <mergeCell ref="A14:J14"/>
    <mergeCell ref="A15:J15"/>
    <mergeCell ref="B9:D9"/>
    <mergeCell ref="E9:J9"/>
    <mergeCell ref="B10:D10"/>
    <mergeCell ref="E10:J10"/>
    <mergeCell ref="B11:D11"/>
    <mergeCell ref="E11:J11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rowBreaks count="2" manualBreakCount="2">
    <brk id="37" max="9" man="1"/>
    <brk id="68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2" tint="-9.9948118533890809E-2"/>
  </sheetPr>
  <dimension ref="A1:K89"/>
  <sheetViews>
    <sheetView view="pageBreakPreview" zoomScaleNormal="100" zoomScaleSheetLayoutView="100" workbookViewId="0">
      <selection activeCell="D2" sqref="D2:J2"/>
    </sheetView>
  </sheetViews>
  <sheetFormatPr defaultRowHeight="15" x14ac:dyDescent="0.25"/>
  <cols>
    <col min="1" max="1" width="2.85546875" style="134" customWidth="1"/>
    <col min="2" max="2" width="2" style="134" bestFit="1" customWidth="1"/>
    <col min="3" max="3" width="15.28515625" style="134" customWidth="1"/>
    <col min="4" max="4" width="35.7109375" style="134" customWidth="1"/>
    <col min="5" max="7" width="3" style="134" customWidth="1"/>
    <col min="8" max="8" width="4.140625" style="161" customWidth="1"/>
    <col min="9" max="9" width="3.7109375" style="161" hidden="1" customWidth="1"/>
    <col min="10" max="10" width="14.85546875" style="161" customWidth="1"/>
    <col min="11" max="16384" width="9.140625" style="134"/>
  </cols>
  <sheetData>
    <row r="1" spans="1:11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1" ht="22.5" customHeight="1" thickBot="1" x14ac:dyDescent="0.3">
      <c r="A2" s="554" t="s">
        <v>0</v>
      </c>
      <c r="B2" s="555"/>
      <c r="C2" s="556"/>
      <c r="D2" s="557" t="s">
        <v>329</v>
      </c>
      <c r="E2" s="558"/>
      <c r="F2" s="558"/>
      <c r="G2" s="558"/>
      <c r="H2" s="558"/>
      <c r="I2" s="558"/>
      <c r="J2" s="559"/>
      <c r="K2" s="136"/>
    </row>
    <row r="3" spans="1:11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</row>
    <row r="4" spans="1:11" ht="27" customHeight="1" thickBot="1" x14ac:dyDescent="0.3">
      <c r="A4" s="564" t="s">
        <v>30</v>
      </c>
      <c r="B4" s="565"/>
      <c r="C4" s="565"/>
      <c r="D4" s="565"/>
      <c r="E4" s="565"/>
      <c r="F4" s="565"/>
      <c r="G4" s="565"/>
      <c r="H4" s="565"/>
      <c r="I4" s="565"/>
      <c r="J4" s="566"/>
      <c r="K4" s="136"/>
    </row>
    <row r="5" spans="1:11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1" x14ac:dyDescent="0.25">
      <c r="A6" s="123" t="s">
        <v>2</v>
      </c>
      <c r="B6" s="606" t="s">
        <v>1</v>
      </c>
      <c r="C6" s="607"/>
      <c r="D6" s="608"/>
      <c r="E6" s="567">
        <v>1855.15</v>
      </c>
      <c r="F6" s="568"/>
      <c r="G6" s="568"/>
      <c r="H6" s="568"/>
      <c r="I6" s="568"/>
      <c r="J6" s="568"/>
      <c r="K6" s="136"/>
    </row>
    <row r="7" spans="1:11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36"/>
    </row>
    <row r="8" spans="1:11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36"/>
    </row>
    <row r="9" spans="1:11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36"/>
    </row>
    <row r="10" spans="1:11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36"/>
    </row>
    <row r="11" spans="1:11" ht="32.25" customHeight="1" thickBot="1" x14ac:dyDescent="0.3">
      <c r="A11" s="122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36"/>
    </row>
    <row r="12" spans="1:11" ht="15.75" thickBot="1" x14ac:dyDescent="0.3">
      <c r="A12" s="458" t="s">
        <v>330</v>
      </c>
      <c r="B12" s="459"/>
      <c r="C12" s="459"/>
      <c r="D12" s="460"/>
      <c r="E12" s="547">
        <f>SUM(E6:J11)</f>
        <v>1855.15</v>
      </c>
      <c r="F12" s="485"/>
      <c r="G12" s="485"/>
      <c r="H12" s="485"/>
      <c r="I12" s="485"/>
      <c r="J12" s="486"/>
      <c r="K12" s="136"/>
    </row>
    <row r="13" spans="1:11" ht="34.5" customHeight="1" x14ac:dyDescent="0.25">
      <c r="A13" s="551" t="s">
        <v>29</v>
      </c>
      <c r="B13" s="552"/>
      <c r="C13" s="552"/>
      <c r="D13" s="553"/>
      <c r="E13" s="548">
        <f>E12*E30</f>
        <v>682.69520000000011</v>
      </c>
      <c r="F13" s="549"/>
      <c r="G13" s="549"/>
      <c r="H13" s="549"/>
      <c r="I13" s="549"/>
      <c r="J13" s="550"/>
      <c r="K13" s="136"/>
    </row>
    <row r="14" spans="1:11" ht="9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1" ht="27" customHeight="1" thickBot="1" x14ac:dyDescent="0.3">
      <c r="A15" s="564" t="s">
        <v>32</v>
      </c>
      <c r="B15" s="565"/>
      <c r="C15" s="565"/>
      <c r="D15" s="565"/>
      <c r="E15" s="565"/>
      <c r="F15" s="565"/>
      <c r="G15" s="565"/>
      <c r="H15" s="565"/>
      <c r="I15" s="565"/>
      <c r="J15" s="566"/>
      <c r="K15" s="136"/>
    </row>
    <row r="16" spans="1:11" ht="30" customHeight="1" thickBot="1" x14ac:dyDescent="0.3">
      <c r="A16" s="507" t="s">
        <v>331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x14ac:dyDescent="0.25">
      <c r="A17" s="123" t="s">
        <v>2</v>
      </c>
      <c r="B17" s="482" t="s">
        <v>125</v>
      </c>
      <c r="C17" s="521"/>
      <c r="D17" s="483"/>
      <c r="E17" s="619">
        <v>8.3299999999999999E-2</v>
      </c>
      <c r="F17" s="620"/>
      <c r="G17" s="621"/>
      <c r="H17" s="450">
        <f>E17*E12</f>
        <v>154.533995</v>
      </c>
      <c r="I17" s="450"/>
      <c r="J17" s="450"/>
      <c r="K17" s="136"/>
    </row>
    <row r="18" spans="1:11" x14ac:dyDescent="0.25">
      <c r="A18" s="123" t="s">
        <v>7</v>
      </c>
      <c r="B18" s="482" t="s">
        <v>35</v>
      </c>
      <c r="C18" s="521"/>
      <c r="D18" s="483"/>
      <c r="E18" s="287">
        <v>0.121</v>
      </c>
      <c r="F18" s="288"/>
      <c r="G18" s="289"/>
      <c r="H18" s="450">
        <f>E18*E12</f>
        <v>224.47315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379.00714500000004</v>
      </c>
      <c r="I19" s="525"/>
      <c r="J19" s="525"/>
      <c r="K19" s="136"/>
    </row>
    <row r="20" spans="1:11" ht="30" customHeight="1" thickBot="1" x14ac:dyDescent="0.3">
      <c r="A20" s="123" t="s">
        <v>8</v>
      </c>
      <c r="B20" s="284" t="s">
        <v>37</v>
      </c>
      <c r="C20" s="285"/>
      <c r="D20" s="286"/>
      <c r="E20" s="287">
        <v>7.8200000000000006E-2</v>
      </c>
      <c r="F20" s="288"/>
      <c r="G20" s="289"/>
      <c r="H20" s="290">
        <f>E12*E20</f>
        <v>145.07273000000001</v>
      </c>
      <c r="I20" s="291"/>
      <c r="J20" s="292"/>
      <c r="K20" s="136"/>
    </row>
    <row r="21" spans="1:11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446.83142900000007</v>
      </c>
      <c r="I22" s="450"/>
      <c r="J22" s="450"/>
      <c r="K22" s="136"/>
    </row>
    <row r="23" spans="1:11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55.853928625000009</v>
      </c>
      <c r="I23" s="450"/>
      <c r="J23" s="450"/>
      <c r="K23" s="136"/>
    </row>
    <row r="24" spans="1:11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67.024714349999996</v>
      </c>
      <c r="I24" s="450"/>
      <c r="J24" s="450"/>
      <c r="K24" s="136"/>
    </row>
    <row r="25" spans="1:11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33.512357174999998</v>
      </c>
      <c r="I25" s="450"/>
      <c r="J25" s="450"/>
      <c r="K25" s="136"/>
    </row>
    <row r="26" spans="1:11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22.34157145</v>
      </c>
      <c r="I26" s="450"/>
      <c r="J26" s="450"/>
      <c r="K26" s="136"/>
    </row>
    <row r="27" spans="1:11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13.404942870000001</v>
      </c>
      <c r="I27" s="450"/>
      <c r="J27" s="450"/>
      <c r="K27" s="136"/>
    </row>
    <row r="28" spans="1:11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4.4683142900000004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178.7325716</v>
      </c>
      <c r="I29" s="450"/>
      <c r="J29" s="450"/>
      <c r="K29" s="136"/>
    </row>
    <row r="30" spans="1:11" ht="15.75" thickBot="1" x14ac:dyDescent="0.3">
      <c r="A30" s="487" t="s">
        <v>36</v>
      </c>
      <c r="B30" s="487"/>
      <c r="C30" s="487"/>
      <c r="D30" s="487"/>
      <c r="E30" s="491">
        <f>SUM(E22:G29)</f>
        <v>0.36800000000000005</v>
      </c>
      <c r="F30" s="492"/>
      <c r="G30" s="493"/>
      <c r="H30" s="451">
        <f>SUM(H22:J29)</f>
        <v>822.16982935999999</v>
      </c>
      <c r="I30" s="451"/>
      <c r="J30" s="451"/>
      <c r="K30" s="136"/>
    </row>
    <row r="31" spans="1:11" ht="15.75" thickBot="1" x14ac:dyDescent="0.3">
      <c r="A31" s="458" t="s">
        <v>48</v>
      </c>
      <c r="B31" s="459"/>
      <c r="C31" s="459"/>
      <c r="D31" s="459"/>
      <c r="E31" s="459"/>
      <c r="F31" s="459"/>
      <c r="G31" s="459"/>
      <c r="H31" s="459"/>
      <c r="I31" s="459"/>
      <c r="J31" s="460"/>
      <c r="K31" s="136"/>
    </row>
    <row r="32" spans="1:11" x14ac:dyDescent="0.25">
      <c r="A32" s="510" t="s">
        <v>2</v>
      </c>
      <c r="B32" s="511"/>
      <c r="C32" s="510" t="s">
        <v>46</v>
      </c>
      <c r="D32" s="511"/>
      <c r="E32" s="515"/>
      <c r="F32" s="515"/>
      <c r="G32" s="515"/>
      <c r="H32" s="516">
        <f>(3.9*2*25.5)-6%*E6</f>
        <v>87.591000000000008</v>
      </c>
      <c r="I32" s="516"/>
      <c r="J32" s="516"/>
      <c r="K32" s="136"/>
    </row>
    <row r="33" spans="1:11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21.63*25.5-20%</f>
        <v>551.3649999999999</v>
      </c>
      <c r="I33" s="450"/>
      <c r="J33" s="450"/>
      <c r="K33" s="136"/>
    </row>
    <row r="34" spans="1:11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36"/>
    </row>
    <row r="35" spans="1:11" x14ac:dyDescent="0.25">
      <c r="A35" s="482" t="s">
        <v>9</v>
      </c>
      <c r="B35" s="483"/>
      <c r="C35" s="478" t="s">
        <v>149</v>
      </c>
      <c r="D35" s="479"/>
      <c r="E35" s="497"/>
      <c r="F35" s="497"/>
      <c r="G35" s="497"/>
      <c r="H35" s="450">
        <v>25.95</v>
      </c>
      <c r="I35" s="450"/>
      <c r="J35" s="450"/>
      <c r="K35" s="136"/>
    </row>
    <row r="36" spans="1:11" ht="15.75" thickBot="1" x14ac:dyDescent="0.3">
      <c r="A36" s="617" t="s">
        <v>38</v>
      </c>
      <c r="B36" s="618"/>
      <c r="C36" s="618"/>
      <c r="D36" s="618"/>
      <c r="E36" s="505"/>
      <c r="F36" s="505"/>
      <c r="G36" s="506"/>
      <c r="H36" s="451">
        <f>SUM(H32:J35)</f>
        <v>701.476</v>
      </c>
      <c r="I36" s="451"/>
      <c r="J36" s="451"/>
      <c r="K36" s="136"/>
    </row>
    <row r="37" spans="1:11" ht="15.75" thickBot="1" x14ac:dyDescent="0.3">
      <c r="A37" s="458" t="s">
        <v>72</v>
      </c>
      <c r="B37" s="459"/>
      <c r="C37" s="459"/>
      <c r="D37" s="460"/>
      <c r="E37" s="615">
        <f>H19+H30+H36</f>
        <v>1902.6529743599999</v>
      </c>
      <c r="F37" s="489"/>
      <c r="G37" s="489"/>
      <c r="H37" s="489"/>
      <c r="I37" s="489"/>
      <c r="J37" s="490"/>
      <c r="K37" s="136"/>
    </row>
    <row r="38" spans="1:11" ht="9" customHeight="1" thickBot="1" x14ac:dyDescent="0.3">
      <c r="A38" s="616"/>
      <c r="B38" s="616"/>
      <c r="C38" s="616"/>
      <c r="D38" s="616"/>
      <c r="E38" s="602"/>
      <c r="F38" s="602"/>
      <c r="G38" s="602"/>
      <c r="H38" s="602"/>
      <c r="I38" s="602"/>
      <c r="J38" s="602"/>
      <c r="K38" s="136"/>
    </row>
    <row r="39" spans="1:11" ht="27" customHeight="1" thickBot="1" x14ac:dyDescent="0.3">
      <c r="A39" s="564" t="s">
        <v>129</v>
      </c>
      <c r="B39" s="565"/>
      <c r="C39" s="565"/>
      <c r="D39" s="565"/>
      <c r="E39" s="565"/>
      <c r="F39" s="565"/>
      <c r="G39" s="565"/>
      <c r="H39" s="565"/>
      <c r="I39" s="565"/>
      <c r="J39" s="566"/>
      <c r="K39" s="136"/>
    </row>
    <row r="40" spans="1:11" x14ac:dyDescent="0.25">
      <c r="A40" s="452" t="s">
        <v>2</v>
      </c>
      <c r="B40" s="453"/>
      <c r="C40" s="452" t="s">
        <v>51</v>
      </c>
      <c r="D40" s="453"/>
      <c r="E40" s="157"/>
      <c r="F40" s="158"/>
      <c r="G40" s="159"/>
      <c r="H40" s="456">
        <f>E12/12*5%</f>
        <v>7.7297916666666673</v>
      </c>
      <c r="I40" s="457"/>
      <c r="J40" s="453"/>
      <c r="K40" s="136"/>
    </row>
    <row r="41" spans="1:11" x14ac:dyDescent="0.25">
      <c r="A41" s="452" t="s">
        <v>7</v>
      </c>
      <c r="B41" s="453"/>
      <c r="C41" s="452" t="s">
        <v>52</v>
      </c>
      <c r="D41" s="453"/>
      <c r="E41" s="157"/>
      <c r="F41" s="158"/>
      <c r="G41" s="159"/>
      <c r="H41" s="456">
        <f>H40*8%</f>
        <v>0.6183833333333334</v>
      </c>
      <c r="I41" s="457"/>
      <c r="J41" s="453"/>
      <c r="K41" s="136"/>
    </row>
    <row r="42" spans="1:11" ht="30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481" t="s">
        <v>9</v>
      </c>
      <c r="B43" s="481"/>
      <c r="C43" s="482" t="s">
        <v>54</v>
      </c>
      <c r="D43" s="483"/>
      <c r="E43" s="480"/>
      <c r="F43" s="480"/>
      <c r="G43" s="480"/>
      <c r="H43" s="450">
        <f>E12/30/12*7*100%</f>
        <v>36.072361111111114</v>
      </c>
      <c r="I43" s="450"/>
      <c r="J43" s="450"/>
      <c r="K43" s="136"/>
    </row>
    <row r="44" spans="1:11" ht="30.75" customHeight="1" x14ac:dyDescent="0.25">
      <c r="A44" s="481" t="s">
        <v>10</v>
      </c>
      <c r="B44" s="481"/>
      <c r="C44" s="478" t="s">
        <v>93</v>
      </c>
      <c r="D44" s="479"/>
      <c r="E44" s="480"/>
      <c r="F44" s="480"/>
      <c r="G44" s="480"/>
      <c r="H44" s="450">
        <f>H43*39.8%</f>
        <v>14.356799722222222</v>
      </c>
      <c r="I44" s="450"/>
      <c r="J44" s="450"/>
      <c r="K44" s="136"/>
    </row>
    <row r="45" spans="1:11" ht="27" customHeight="1" thickBot="1" x14ac:dyDescent="0.3">
      <c r="A45" s="473" t="s">
        <v>11</v>
      </c>
      <c r="B45" s="474"/>
      <c r="C45" s="475" t="s">
        <v>53</v>
      </c>
      <c r="D45" s="476"/>
      <c r="E45" s="467"/>
      <c r="F45" s="468"/>
      <c r="G45" s="469"/>
      <c r="H45" s="470">
        <f>E12*5%</f>
        <v>92.757500000000007</v>
      </c>
      <c r="I45" s="471"/>
      <c r="J45" s="472"/>
      <c r="K45" s="136"/>
    </row>
    <row r="46" spans="1:11" ht="15.75" thickBot="1" x14ac:dyDescent="0.3">
      <c r="A46" s="570" t="s">
        <v>333</v>
      </c>
      <c r="B46" s="571"/>
      <c r="C46" s="571"/>
      <c r="D46" s="571"/>
      <c r="E46" s="571"/>
      <c r="F46" s="571"/>
      <c r="G46" s="572"/>
      <c r="H46" s="547">
        <f>SUM(H40:J45)</f>
        <v>151.53483583333335</v>
      </c>
      <c r="I46" s="485"/>
      <c r="J46" s="486"/>
      <c r="K46" s="136"/>
    </row>
    <row r="47" spans="1:11" ht="9" customHeight="1" thickBot="1" x14ac:dyDescent="0.3">
      <c r="E47" s="160"/>
      <c r="F47" s="160"/>
      <c r="G47" s="160"/>
      <c r="K47" s="136"/>
    </row>
    <row r="48" spans="1:11" ht="30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452" t="s">
        <v>2</v>
      </c>
      <c r="B49" s="453"/>
      <c r="C49" s="452" t="s">
        <v>56</v>
      </c>
      <c r="D49" s="453"/>
      <c r="E49" s="157"/>
      <c r="F49" s="158"/>
      <c r="G49" s="159"/>
      <c r="H49" s="456">
        <f>E20/12*5%</f>
        <v>3.2583333333333336E-4</v>
      </c>
      <c r="I49" s="457"/>
      <c r="J49" s="453"/>
      <c r="K49" s="136"/>
    </row>
    <row r="50" spans="1:11" x14ac:dyDescent="0.25">
      <c r="A50" s="452" t="s">
        <v>7</v>
      </c>
      <c r="B50" s="453"/>
      <c r="C50" s="452" t="s">
        <v>57</v>
      </c>
      <c r="D50" s="453"/>
      <c r="E50" s="157"/>
      <c r="F50" s="158"/>
      <c r="G50" s="159"/>
      <c r="H50" s="456">
        <f>E12/30/12</f>
        <v>5.1531944444444449</v>
      </c>
      <c r="I50" s="457"/>
      <c r="J50" s="453"/>
      <c r="K50" s="136"/>
    </row>
    <row r="51" spans="1:11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0.38648958333333333</v>
      </c>
      <c r="I51" s="450"/>
      <c r="J51" s="450"/>
      <c r="K51" s="136"/>
    </row>
    <row r="52" spans="1:11" ht="28.5" customHeight="1" x14ac:dyDescent="0.25">
      <c r="A52" s="481" t="s">
        <v>9</v>
      </c>
      <c r="B52" s="481"/>
      <c r="C52" s="284" t="s">
        <v>59</v>
      </c>
      <c r="D52" s="286"/>
      <c r="E52" s="480"/>
      <c r="F52" s="480"/>
      <c r="G52" s="480"/>
      <c r="H52" s="450">
        <f>E12/30/12*15*8%</f>
        <v>6.1838333333333342</v>
      </c>
      <c r="I52" s="450"/>
      <c r="J52" s="450"/>
      <c r="K52" s="136"/>
    </row>
    <row r="53" spans="1:11" x14ac:dyDescent="0.25">
      <c r="A53" s="481" t="s">
        <v>10</v>
      </c>
      <c r="B53" s="481"/>
      <c r="C53" s="478" t="s">
        <v>60</v>
      </c>
      <c r="D53" s="479"/>
      <c r="E53" s="480"/>
      <c r="F53" s="480"/>
      <c r="G53" s="480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481" t="s">
        <v>11</v>
      </c>
      <c r="B54" s="481"/>
      <c r="C54" s="478" t="s">
        <v>61</v>
      </c>
      <c r="D54" s="479"/>
      <c r="E54" s="480"/>
      <c r="F54" s="480"/>
      <c r="G54" s="480"/>
      <c r="H54" s="450">
        <f>E12/30/12*5*40%</f>
        <v>10.30638888888889</v>
      </c>
      <c r="I54" s="450"/>
      <c r="J54" s="450"/>
      <c r="K54" s="136"/>
    </row>
    <row r="55" spans="1:11" ht="28.5" customHeight="1" x14ac:dyDescent="0.25">
      <c r="A55" s="481" t="s">
        <v>39</v>
      </c>
      <c r="B55" s="481"/>
      <c r="C55" s="478" t="s">
        <v>62</v>
      </c>
      <c r="D55" s="479"/>
      <c r="E55" s="480"/>
      <c r="F55" s="480"/>
      <c r="G55" s="480"/>
      <c r="H55" s="450">
        <f>SUM(H49:J54)*39.8%</f>
        <v>8.7695885491666665</v>
      </c>
      <c r="I55" s="450"/>
      <c r="J55" s="450"/>
      <c r="K55" s="136"/>
    </row>
    <row r="56" spans="1:11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30.803730632500002</v>
      </c>
      <c r="I56" s="592"/>
      <c r="J56" s="592"/>
      <c r="K56" s="136"/>
    </row>
    <row r="57" spans="1:11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1" ht="30.75" customHeight="1" x14ac:dyDescent="0.25">
      <c r="A58" s="452" t="s">
        <v>2</v>
      </c>
      <c r="B58" s="453"/>
      <c r="C58" s="454" t="s">
        <v>64</v>
      </c>
      <c r="D58" s="455"/>
      <c r="E58" s="157"/>
      <c r="F58" s="158"/>
      <c r="G58" s="159"/>
      <c r="H58" s="456">
        <f>((((E12+(E12/3))*0.3333)/12)*2%)</f>
        <v>1.3740477666666666</v>
      </c>
      <c r="I58" s="457"/>
      <c r="J58" s="453"/>
      <c r="K58" s="136"/>
    </row>
    <row r="59" spans="1:11" ht="44.25" customHeight="1" x14ac:dyDescent="0.25">
      <c r="A59" s="452" t="s">
        <v>7</v>
      </c>
      <c r="B59" s="453"/>
      <c r="C59" s="454" t="s">
        <v>65</v>
      </c>
      <c r="D59" s="455"/>
      <c r="E59" s="157"/>
      <c r="F59" s="158"/>
      <c r="G59" s="159"/>
      <c r="H59" s="456">
        <f>H58*39.8%</f>
        <v>0.54687101113333325</v>
      </c>
      <c r="I59" s="457"/>
      <c r="J59" s="453"/>
      <c r="K59" s="136"/>
    </row>
    <row r="60" spans="1:11" ht="42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5.3270291718665996</v>
      </c>
      <c r="I60" s="450"/>
      <c r="J60" s="450"/>
      <c r="K60" s="136"/>
    </row>
    <row r="61" spans="1:11" x14ac:dyDescent="0.25">
      <c r="A61" s="481" t="s">
        <v>9</v>
      </c>
      <c r="B61" s="481"/>
      <c r="C61" s="482" t="s">
        <v>67</v>
      </c>
      <c r="D61" s="483"/>
      <c r="E61" s="480"/>
      <c r="F61" s="480"/>
      <c r="G61" s="480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7.2479479496665995</v>
      </c>
      <c r="I62" s="592"/>
      <c r="J62" s="592"/>
      <c r="K62" s="136"/>
    </row>
    <row r="63" spans="1:11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1" ht="29.25" customHeight="1" x14ac:dyDescent="0.25">
      <c r="A64" s="452" t="s">
        <v>2</v>
      </c>
      <c r="B64" s="453"/>
      <c r="C64" s="454" t="s">
        <v>69</v>
      </c>
      <c r="D64" s="455"/>
      <c r="E64" s="157"/>
      <c r="F64" s="158"/>
      <c r="G64" s="159"/>
      <c r="H64" s="456">
        <f>((((E18+(E18/3))*0.3333)/12)*2%)</f>
        <v>8.9620666666666654E-5</v>
      </c>
      <c r="I64" s="457"/>
      <c r="J64" s="453"/>
      <c r="K64" s="136"/>
    </row>
    <row r="65" spans="1:11" ht="29.25" customHeight="1" x14ac:dyDescent="0.25">
      <c r="A65" s="452" t="s">
        <v>7</v>
      </c>
      <c r="B65" s="453"/>
      <c r="C65" s="454" t="s">
        <v>70</v>
      </c>
      <c r="D65" s="455"/>
      <c r="E65" s="157"/>
      <c r="F65" s="158"/>
      <c r="G65" s="159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1" ht="15.75" thickBot="1" x14ac:dyDescent="0.3">
      <c r="A67" s="458" t="s">
        <v>71</v>
      </c>
      <c r="B67" s="459"/>
      <c r="C67" s="459"/>
      <c r="D67" s="460"/>
      <c r="E67" s="587">
        <f>H66+H62+H56</f>
        <v>38.051803871858603</v>
      </c>
      <c r="F67" s="498"/>
      <c r="G67" s="498"/>
      <c r="H67" s="498"/>
      <c r="I67" s="498"/>
      <c r="J67" s="499"/>
      <c r="K67" s="136"/>
    </row>
    <row r="68" spans="1:11" ht="14.25" customHeight="1" thickBot="1" x14ac:dyDescent="0.3">
      <c r="A68" s="135"/>
      <c r="B68" s="135"/>
      <c r="C68" s="135"/>
      <c r="D68" s="135"/>
      <c r="E68" s="135"/>
      <c r="F68" s="135"/>
      <c r="G68" s="135"/>
      <c r="H68" s="135"/>
      <c r="I68" s="135"/>
      <c r="J68" s="135"/>
      <c r="K68" s="136"/>
    </row>
    <row r="69" spans="1:11" ht="27" customHeight="1" thickBot="1" x14ac:dyDescent="0.3">
      <c r="A69" s="564" t="s">
        <v>73</v>
      </c>
      <c r="B69" s="565"/>
      <c r="C69" s="565"/>
      <c r="D69" s="565"/>
      <c r="E69" s="565"/>
      <c r="F69" s="565"/>
      <c r="G69" s="565"/>
      <c r="H69" s="565"/>
      <c r="I69" s="565"/>
      <c r="J69" s="566"/>
      <c r="K69" s="136"/>
    </row>
    <row r="70" spans="1:11" x14ac:dyDescent="0.25">
      <c r="A70" s="452" t="s">
        <v>2</v>
      </c>
      <c r="B70" s="453"/>
      <c r="C70" s="452" t="s">
        <v>74</v>
      </c>
      <c r="D70" s="453"/>
      <c r="E70" s="452"/>
      <c r="F70" s="457"/>
      <c r="G70" s="453"/>
      <c r="H70" s="456">
        <v>350</v>
      </c>
      <c r="I70" s="457"/>
      <c r="J70" s="453"/>
      <c r="K70" s="136"/>
    </row>
    <row r="71" spans="1:11" x14ac:dyDescent="0.25">
      <c r="A71" s="452" t="s">
        <v>7</v>
      </c>
      <c r="B71" s="453"/>
      <c r="C71" s="452" t="s">
        <v>75</v>
      </c>
      <c r="D71" s="453"/>
      <c r="E71" s="157"/>
      <c r="F71" s="158"/>
      <c r="G71" s="159"/>
      <c r="H71" s="456">
        <v>5.56</v>
      </c>
      <c r="I71" s="457"/>
      <c r="J71" s="453"/>
      <c r="K71" s="136"/>
    </row>
    <row r="72" spans="1:11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477" t="s">
        <v>9</v>
      </c>
      <c r="B73" s="477"/>
      <c r="C73" s="473" t="s">
        <v>28</v>
      </c>
      <c r="D73" s="474"/>
      <c r="E73" s="448"/>
      <c r="F73" s="448"/>
      <c r="G73" s="448"/>
      <c r="H73" s="449">
        <f>E31/30/12*15*8%</f>
        <v>0</v>
      </c>
      <c r="I73" s="449"/>
      <c r="J73" s="449"/>
      <c r="K73" s="136"/>
    </row>
    <row r="74" spans="1:11" ht="15.75" thickBot="1" x14ac:dyDescent="0.3">
      <c r="A74" s="570" t="s">
        <v>36</v>
      </c>
      <c r="B74" s="571"/>
      <c r="C74" s="571"/>
      <c r="D74" s="571"/>
      <c r="E74" s="571"/>
      <c r="F74" s="571"/>
      <c r="G74" s="572"/>
      <c r="H74" s="547">
        <f>SUM(H70:J73)</f>
        <v>398.31</v>
      </c>
      <c r="I74" s="485"/>
      <c r="J74" s="486"/>
      <c r="K74" s="136"/>
    </row>
    <row r="75" spans="1:11" ht="9.75" customHeight="1" thickBot="1" x14ac:dyDescent="0.3">
      <c r="E75" s="160"/>
      <c r="F75" s="160"/>
      <c r="G75" s="160"/>
      <c r="K75" s="136"/>
    </row>
    <row r="76" spans="1:11" ht="27" customHeight="1" thickBot="1" x14ac:dyDescent="0.3">
      <c r="A76" s="564" t="s">
        <v>84</v>
      </c>
      <c r="B76" s="565"/>
      <c r="C76" s="565"/>
      <c r="D76" s="565"/>
      <c r="E76" s="565"/>
      <c r="F76" s="565"/>
      <c r="G76" s="565"/>
      <c r="H76" s="565"/>
      <c r="I76" s="565"/>
      <c r="J76" s="566"/>
      <c r="K76" s="136"/>
    </row>
    <row r="77" spans="1:11" x14ac:dyDescent="0.25">
      <c r="A77" s="452" t="s">
        <v>2</v>
      </c>
      <c r="B77" s="453"/>
      <c r="C77" s="452" t="s">
        <v>77</v>
      </c>
      <c r="D77" s="453"/>
      <c r="E77" s="537">
        <v>7.0000000000000007E-2</v>
      </c>
      <c r="F77" s="457"/>
      <c r="G77" s="453"/>
      <c r="H77" s="456">
        <f>(H74+E67+H46+E37+E12)*E77</f>
        <v>304.19897298456345</v>
      </c>
      <c r="I77" s="457"/>
      <c r="J77" s="453"/>
      <c r="K77" s="136"/>
    </row>
    <row r="78" spans="1:11" x14ac:dyDescent="0.25">
      <c r="A78" s="452" t="s">
        <v>7</v>
      </c>
      <c r="B78" s="453"/>
      <c r="C78" s="452" t="s">
        <v>12</v>
      </c>
      <c r="D78" s="453"/>
      <c r="E78" s="537">
        <v>7.5775276633744088E-2</v>
      </c>
      <c r="F78" s="457"/>
      <c r="G78" s="453"/>
      <c r="H78" s="456">
        <f>E78*(H74+E67+H46+E37+E12)</f>
        <v>329.2965904229448</v>
      </c>
      <c r="I78" s="457"/>
      <c r="J78" s="453"/>
      <c r="K78" s="136"/>
    </row>
    <row r="79" spans="1:11" ht="15" customHeight="1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450">
        <f>(H74+E67+H46+E37+E12)/E79</f>
        <v>5067.8712700468704</v>
      </c>
      <c r="I79" s="450"/>
      <c r="J79" s="450"/>
      <c r="K79" s="136"/>
    </row>
    <row r="80" spans="1:11" ht="15" customHeight="1" x14ac:dyDescent="0.25">
      <c r="A80" s="481" t="s">
        <v>9</v>
      </c>
      <c r="B80" s="481"/>
      <c r="C80" s="482" t="s">
        <v>79</v>
      </c>
      <c r="D80" s="483"/>
      <c r="E80" s="480">
        <v>1.6500000000000001E-2</v>
      </c>
      <c r="F80" s="480"/>
      <c r="G80" s="480"/>
      <c r="H80" s="450">
        <f>E80*J88</f>
        <v>53.111850000000004</v>
      </c>
      <c r="I80" s="450"/>
      <c r="J80" s="450"/>
      <c r="K80" s="136"/>
    </row>
    <row r="81" spans="1:11" ht="15" customHeight="1" x14ac:dyDescent="0.25">
      <c r="A81" s="481" t="s">
        <v>9</v>
      </c>
      <c r="B81" s="481"/>
      <c r="C81" s="482" t="s">
        <v>80</v>
      </c>
      <c r="D81" s="483"/>
      <c r="E81" s="480">
        <v>7.5999999999999998E-2</v>
      </c>
      <c r="F81" s="480"/>
      <c r="G81" s="480"/>
      <c r="H81" s="450">
        <f>E81*J88</f>
        <v>244.63640000000001</v>
      </c>
      <c r="I81" s="450"/>
      <c r="J81" s="450"/>
      <c r="K81" s="136"/>
    </row>
    <row r="82" spans="1:11" x14ac:dyDescent="0.25">
      <c r="A82" s="481" t="s">
        <v>10</v>
      </c>
      <c r="B82" s="481"/>
      <c r="C82" s="482" t="s">
        <v>81</v>
      </c>
      <c r="D82" s="483"/>
      <c r="E82" s="480"/>
      <c r="F82" s="480"/>
      <c r="G82" s="480"/>
      <c r="H82" s="450"/>
      <c r="I82" s="450"/>
      <c r="J82" s="450"/>
      <c r="K82" s="136"/>
    </row>
    <row r="83" spans="1:11" ht="15.75" thickBot="1" x14ac:dyDescent="0.3">
      <c r="A83" s="477" t="s">
        <v>11</v>
      </c>
      <c r="B83" s="477"/>
      <c r="C83" s="473" t="s">
        <v>110</v>
      </c>
      <c r="D83" s="474"/>
      <c r="E83" s="448">
        <v>0.05</v>
      </c>
      <c r="F83" s="448"/>
      <c r="G83" s="448"/>
      <c r="H83" s="449">
        <f>E83*J88</f>
        <v>160.94500000000002</v>
      </c>
      <c r="I83" s="449"/>
      <c r="J83" s="449"/>
      <c r="K83" s="136"/>
    </row>
    <row r="84" spans="1:11" ht="15" customHeight="1" thickBot="1" x14ac:dyDescent="0.3">
      <c r="A84" s="570" t="s">
        <v>36</v>
      </c>
      <c r="B84" s="571"/>
      <c r="C84" s="571"/>
      <c r="D84" s="571"/>
      <c r="E84" s="571"/>
      <c r="F84" s="571"/>
      <c r="G84" s="572"/>
      <c r="H84" s="547">
        <f>H77+H78+H80+H81+H83</f>
        <v>1092.1888134075082</v>
      </c>
      <c r="I84" s="485"/>
      <c r="J84" s="486"/>
      <c r="K84" s="136"/>
    </row>
    <row r="85" spans="1:11" ht="14.25" customHeight="1" thickBot="1" x14ac:dyDescent="0.3">
      <c r="E85" s="160"/>
      <c r="F85" s="160"/>
      <c r="G85" s="160"/>
      <c r="K85" s="136"/>
    </row>
    <row r="86" spans="1:11" ht="15" customHeight="1" thickBot="1" x14ac:dyDescent="0.3">
      <c r="A86" s="612" t="s">
        <v>85</v>
      </c>
      <c r="B86" s="613"/>
      <c r="C86" s="613"/>
      <c r="D86" s="613"/>
      <c r="E86" s="613"/>
      <c r="F86" s="613"/>
      <c r="G86" s="614"/>
      <c r="H86" s="534">
        <f>SUM(H84+H74+E67+H46+E37+E12)</f>
        <v>5437.8884274727006</v>
      </c>
      <c r="I86" s="535"/>
      <c r="J86" s="536"/>
    </row>
    <row r="88" spans="1:11" x14ac:dyDescent="0.25">
      <c r="J88" s="174">
        <v>3218.9</v>
      </c>
    </row>
    <row r="89" spans="1:11" ht="15.75" thickBot="1" x14ac:dyDescent="0.3">
      <c r="D89" s="175"/>
    </row>
  </sheetData>
  <mergeCells count="230">
    <mergeCell ref="B9:D9"/>
    <mergeCell ref="E9:J9"/>
    <mergeCell ref="B10:D10"/>
    <mergeCell ref="E10:J10"/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  <mergeCell ref="B11:D11"/>
    <mergeCell ref="E11:J11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12:D12"/>
    <mergeCell ref="E12:J12"/>
    <mergeCell ref="A13:D13"/>
    <mergeCell ref="E13:J13"/>
    <mergeCell ref="A14:J14"/>
    <mergeCell ref="A15:J15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2" tint="-9.9948118533890809E-2"/>
  </sheetPr>
  <dimension ref="A1:K89"/>
  <sheetViews>
    <sheetView view="pageBreakPreview" zoomScaleNormal="100" zoomScaleSheetLayoutView="100" workbookViewId="0">
      <selection activeCell="M79" sqref="M79"/>
    </sheetView>
  </sheetViews>
  <sheetFormatPr defaultRowHeight="15" x14ac:dyDescent="0.25"/>
  <cols>
    <col min="1" max="1" width="2.85546875" style="134" customWidth="1"/>
    <col min="2" max="2" width="2" style="134" bestFit="1" customWidth="1"/>
    <col min="3" max="3" width="15.28515625" style="134" customWidth="1"/>
    <col min="4" max="4" width="35.7109375" style="134" customWidth="1"/>
    <col min="5" max="7" width="3.140625" style="134" customWidth="1"/>
    <col min="8" max="8" width="4.140625" style="161" customWidth="1"/>
    <col min="9" max="9" width="3.7109375" style="161" hidden="1" customWidth="1"/>
    <col min="10" max="10" width="14.85546875" style="161" customWidth="1"/>
    <col min="11" max="16384" width="9.140625" style="134"/>
  </cols>
  <sheetData>
    <row r="1" spans="1:11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1" ht="22.5" customHeight="1" thickBot="1" x14ac:dyDescent="0.3">
      <c r="A2" s="554" t="s">
        <v>0</v>
      </c>
      <c r="B2" s="555"/>
      <c r="C2" s="556"/>
      <c r="D2" s="557" t="s">
        <v>334</v>
      </c>
      <c r="E2" s="558"/>
      <c r="F2" s="558"/>
      <c r="G2" s="558"/>
      <c r="H2" s="558"/>
      <c r="I2" s="558"/>
      <c r="J2" s="559"/>
      <c r="K2" s="136"/>
    </row>
    <row r="3" spans="1:11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</row>
    <row r="4" spans="1:11" ht="27" customHeight="1" thickBot="1" x14ac:dyDescent="0.3">
      <c r="A4" s="564" t="s">
        <v>30</v>
      </c>
      <c r="B4" s="565"/>
      <c r="C4" s="565"/>
      <c r="D4" s="565"/>
      <c r="E4" s="565"/>
      <c r="F4" s="565"/>
      <c r="G4" s="565"/>
      <c r="H4" s="565"/>
      <c r="I4" s="565"/>
      <c r="J4" s="566"/>
      <c r="K4" s="136"/>
    </row>
    <row r="5" spans="1:11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1" x14ac:dyDescent="0.25">
      <c r="A6" s="123" t="s">
        <v>2</v>
      </c>
      <c r="B6" s="606" t="s">
        <v>1</v>
      </c>
      <c r="C6" s="607"/>
      <c r="D6" s="608"/>
      <c r="E6" s="567">
        <v>1855.15</v>
      </c>
      <c r="F6" s="568"/>
      <c r="G6" s="568"/>
      <c r="H6" s="568"/>
      <c r="I6" s="568"/>
      <c r="J6" s="568"/>
      <c r="K6" s="136"/>
    </row>
    <row r="7" spans="1:11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36"/>
    </row>
    <row r="8" spans="1:11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36"/>
    </row>
    <row r="9" spans="1:11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36"/>
    </row>
    <row r="10" spans="1:11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36"/>
    </row>
    <row r="11" spans="1:11" ht="32.25" customHeight="1" thickBot="1" x14ac:dyDescent="0.3">
      <c r="A11" s="122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36"/>
    </row>
    <row r="12" spans="1:11" ht="15.75" thickBot="1" x14ac:dyDescent="0.3">
      <c r="A12" s="554" t="s">
        <v>38</v>
      </c>
      <c r="B12" s="555"/>
      <c r="C12" s="555"/>
      <c r="D12" s="556"/>
      <c r="E12" s="624">
        <f>SUM(E6:J11)</f>
        <v>1855.15</v>
      </c>
      <c r="F12" s="625"/>
      <c r="G12" s="625"/>
      <c r="H12" s="625"/>
      <c r="I12" s="625"/>
      <c r="J12" s="626"/>
      <c r="K12" s="136"/>
    </row>
    <row r="13" spans="1:11" ht="30" customHeight="1" x14ac:dyDescent="0.25">
      <c r="A13" s="551" t="s">
        <v>29</v>
      </c>
      <c r="B13" s="552"/>
      <c r="C13" s="552"/>
      <c r="D13" s="553"/>
      <c r="E13" s="548">
        <f>E12*E30</f>
        <v>682.69520000000011</v>
      </c>
      <c r="F13" s="549"/>
      <c r="G13" s="549"/>
      <c r="H13" s="549"/>
      <c r="I13" s="549"/>
      <c r="J13" s="550"/>
      <c r="K13" s="136"/>
    </row>
    <row r="14" spans="1:11" ht="9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1" ht="27" customHeight="1" thickBot="1" x14ac:dyDescent="0.3">
      <c r="A15" s="564" t="s">
        <v>32</v>
      </c>
      <c r="B15" s="565"/>
      <c r="C15" s="565"/>
      <c r="D15" s="565"/>
      <c r="E15" s="565"/>
      <c r="F15" s="565"/>
      <c r="G15" s="565"/>
      <c r="H15" s="565"/>
      <c r="I15" s="565"/>
      <c r="J15" s="566"/>
      <c r="K15" s="136"/>
    </row>
    <row r="16" spans="1:11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x14ac:dyDescent="0.25">
      <c r="A17" s="123" t="s">
        <v>2</v>
      </c>
      <c r="B17" s="482" t="s">
        <v>125</v>
      </c>
      <c r="C17" s="521"/>
      <c r="D17" s="483"/>
      <c r="E17" s="619">
        <v>8.3299999999999999E-2</v>
      </c>
      <c r="F17" s="620"/>
      <c r="G17" s="621"/>
      <c r="H17" s="450">
        <f>E17*E12</f>
        <v>154.533995</v>
      </c>
      <c r="I17" s="450"/>
      <c r="J17" s="450"/>
      <c r="K17" s="136"/>
    </row>
    <row r="18" spans="1:11" x14ac:dyDescent="0.25">
      <c r="A18" s="123" t="s">
        <v>7</v>
      </c>
      <c r="B18" s="482" t="s">
        <v>35</v>
      </c>
      <c r="C18" s="521"/>
      <c r="D18" s="483"/>
      <c r="E18" s="287">
        <v>0.121</v>
      </c>
      <c r="F18" s="288"/>
      <c r="G18" s="289"/>
      <c r="H18" s="450">
        <f>E18*E12</f>
        <v>224.47315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379.00714500000004</v>
      </c>
      <c r="I19" s="525"/>
      <c r="J19" s="525"/>
      <c r="K19" s="136"/>
    </row>
    <row r="20" spans="1:11" ht="28.5" customHeight="1" thickBot="1" x14ac:dyDescent="0.3">
      <c r="A20" s="123" t="s">
        <v>8</v>
      </c>
      <c r="B20" s="284" t="s">
        <v>37</v>
      </c>
      <c r="C20" s="285"/>
      <c r="D20" s="286"/>
      <c r="E20" s="287">
        <v>7.8200000000000006E-2</v>
      </c>
      <c r="F20" s="288"/>
      <c r="G20" s="289"/>
      <c r="H20" s="290">
        <f>E12*E20</f>
        <v>145.07273000000001</v>
      </c>
      <c r="I20" s="291"/>
      <c r="J20" s="292"/>
      <c r="K20" s="136"/>
    </row>
    <row r="21" spans="1:11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446.83142900000007</v>
      </c>
      <c r="I22" s="450"/>
      <c r="J22" s="450"/>
      <c r="K22" s="136"/>
    </row>
    <row r="23" spans="1:11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55.853928625000009</v>
      </c>
      <c r="I23" s="450"/>
      <c r="J23" s="450"/>
      <c r="K23" s="136"/>
    </row>
    <row r="24" spans="1:11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67.024714349999996</v>
      </c>
      <c r="I24" s="450"/>
      <c r="J24" s="450"/>
      <c r="K24" s="136"/>
    </row>
    <row r="25" spans="1:11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33.512357174999998</v>
      </c>
      <c r="I25" s="450"/>
      <c r="J25" s="450"/>
      <c r="K25" s="136"/>
    </row>
    <row r="26" spans="1:11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22.34157145</v>
      </c>
      <c r="I26" s="450"/>
      <c r="J26" s="450"/>
      <c r="K26" s="136"/>
    </row>
    <row r="27" spans="1:11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13.404942870000001</v>
      </c>
      <c r="I27" s="450"/>
      <c r="J27" s="450"/>
      <c r="K27" s="136"/>
    </row>
    <row r="28" spans="1:11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4.4683142900000004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178.7325716</v>
      </c>
      <c r="I29" s="450"/>
      <c r="J29" s="450"/>
      <c r="K29" s="136"/>
    </row>
    <row r="30" spans="1:11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822.16982935999999</v>
      </c>
      <c r="I30" s="592"/>
      <c r="J30" s="592"/>
      <c r="K30" s="136"/>
    </row>
    <row r="31" spans="1:11" ht="17.25" customHeight="1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1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(3.9*2*16)-6%*E6</f>
        <v>13.491</v>
      </c>
      <c r="I32" s="450"/>
      <c r="J32" s="450"/>
      <c r="K32" s="136"/>
    </row>
    <row r="33" spans="1:11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21.63*16-20%</f>
        <v>345.88</v>
      </c>
      <c r="I33" s="450"/>
      <c r="J33" s="450"/>
      <c r="K33" s="136"/>
    </row>
    <row r="34" spans="1:11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36"/>
    </row>
    <row r="35" spans="1:11" x14ac:dyDescent="0.25">
      <c r="A35" s="482" t="s">
        <v>9</v>
      </c>
      <c r="B35" s="483"/>
      <c r="C35" s="478" t="s">
        <v>149</v>
      </c>
      <c r="D35" s="479"/>
      <c r="E35" s="497"/>
      <c r="F35" s="497"/>
      <c r="G35" s="497"/>
      <c r="H35" s="450">
        <v>25.95</v>
      </c>
      <c r="I35" s="450"/>
      <c r="J35" s="450"/>
      <c r="K35" s="136"/>
    </row>
    <row r="36" spans="1:11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421.89099999999996</v>
      </c>
      <c r="I36" s="451"/>
      <c r="J36" s="451"/>
      <c r="K36" s="136"/>
    </row>
    <row r="37" spans="1:11" ht="15.75" thickBot="1" x14ac:dyDescent="0.3">
      <c r="A37" s="458" t="s">
        <v>72</v>
      </c>
      <c r="B37" s="459"/>
      <c r="C37" s="459"/>
      <c r="D37" s="460"/>
      <c r="E37" s="587">
        <f>H19+H30+H36</f>
        <v>1623.0679743599999</v>
      </c>
      <c r="F37" s="498"/>
      <c r="G37" s="498"/>
      <c r="H37" s="498"/>
      <c r="I37" s="498"/>
      <c r="J37" s="499"/>
      <c r="K37" s="136"/>
    </row>
    <row r="38" spans="1:11" ht="9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</row>
    <row r="39" spans="1:11" ht="27" customHeight="1" thickBot="1" x14ac:dyDescent="0.3">
      <c r="A39" s="564" t="s">
        <v>129</v>
      </c>
      <c r="B39" s="565"/>
      <c r="C39" s="565"/>
      <c r="D39" s="565"/>
      <c r="E39" s="565"/>
      <c r="F39" s="565"/>
      <c r="G39" s="565"/>
      <c r="H39" s="565"/>
      <c r="I39" s="565"/>
      <c r="J39" s="566"/>
      <c r="K39" s="136"/>
    </row>
    <row r="40" spans="1:11" x14ac:dyDescent="0.25">
      <c r="A40" s="452" t="s">
        <v>2</v>
      </c>
      <c r="B40" s="453"/>
      <c r="C40" s="452" t="s">
        <v>51</v>
      </c>
      <c r="D40" s="453"/>
      <c r="E40" s="157"/>
      <c r="F40" s="158"/>
      <c r="G40" s="159"/>
      <c r="H40" s="456">
        <f>E12/12*5%</f>
        <v>7.7297916666666673</v>
      </c>
      <c r="I40" s="457"/>
      <c r="J40" s="453"/>
      <c r="K40" s="136"/>
    </row>
    <row r="41" spans="1:11" x14ac:dyDescent="0.25">
      <c r="A41" s="452" t="s">
        <v>7</v>
      </c>
      <c r="B41" s="453"/>
      <c r="C41" s="452" t="s">
        <v>52</v>
      </c>
      <c r="D41" s="453"/>
      <c r="E41" s="157"/>
      <c r="F41" s="158"/>
      <c r="G41" s="159"/>
      <c r="H41" s="456">
        <f>H40*8%</f>
        <v>0.6183833333333334</v>
      </c>
      <c r="I41" s="457"/>
      <c r="J41" s="453"/>
      <c r="K41" s="136"/>
    </row>
    <row r="42" spans="1:11" ht="30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481" t="s">
        <v>9</v>
      </c>
      <c r="B43" s="481"/>
      <c r="C43" s="482" t="s">
        <v>54</v>
      </c>
      <c r="D43" s="483"/>
      <c r="E43" s="480"/>
      <c r="F43" s="480"/>
      <c r="G43" s="480"/>
      <c r="H43" s="450">
        <f>E12/30/12*7*100%</f>
        <v>36.072361111111114</v>
      </c>
      <c r="I43" s="450"/>
      <c r="J43" s="450"/>
      <c r="K43" s="136"/>
    </row>
    <row r="44" spans="1:11" ht="30" customHeight="1" x14ac:dyDescent="0.25">
      <c r="A44" s="481" t="s">
        <v>10</v>
      </c>
      <c r="B44" s="481"/>
      <c r="C44" s="478" t="s">
        <v>93</v>
      </c>
      <c r="D44" s="479"/>
      <c r="E44" s="480"/>
      <c r="F44" s="480"/>
      <c r="G44" s="480"/>
      <c r="H44" s="450">
        <f>H43*39.8%</f>
        <v>14.356799722222222</v>
      </c>
      <c r="I44" s="450"/>
      <c r="J44" s="450"/>
      <c r="K44" s="136"/>
    </row>
    <row r="45" spans="1:11" ht="29.25" customHeight="1" thickBot="1" x14ac:dyDescent="0.3">
      <c r="A45" s="473" t="s">
        <v>11</v>
      </c>
      <c r="B45" s="474"/>
      <c r="C45" s="475" t="s">
        <v>53</v>
      </c>
      <c r="D45" s="476"/>
      <c r="E45" s="467"/>
      <c r="F45" s="468"/>
      <c r="G45" s="469"/>
      <c r="H45" s="470">
        <f>E12*5%</f>
        <v>92.757500000000007</v>
      </c>
      <c r="I45" s="471"/>
      <c r="J45" s="472"/>
      <c r="K45" s="136"/>
    </row>
    <row r="46" spans="1:11" ht="15.75" thickBot="1" x14ac:dyDescent="0.3">
      <c r="A46" s="570" t="s">
        <v>333</v>
      </c>
      <c r="B46" s="571"/>
      <c r="C46" s="571"/>
      <c r="D46" s="571"/>
      <c r="E46" s="571"/>
      <c r="F46" s="571"/>
      <c r="G46" s="572"/>
      <c r="H46" s="547">
        <f>SUM(H40:J45)</f>
        <v>151.53483583333335</v>
      </c>
      <c r="I46" s="485"/>
      <c r="J46" s="486"/>
      <c r="K46" s="136"/>
    </row>
    <row r="47" spans="1:11" ht="9" customHeight="1" thickBot="1" x14ac:dyDescent="0.3">
      <c r="E47" s="160"/>
      <c r="F47" s="160"/>
      <c r="G47" s="160"/>
      <c r="K47" s="136"/>
    </row>
    <row r="48" spans="1:11" ht="30" customHeight="1" thickBot="1" x14ac:dyDescent="0.3">
      <c r="A48" s="494" t="s">
        <v>338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452" t="s">
        <v>2</v>
      </c>
      <c r="B49" s="453"/>
      <c r="C49" s="452" t="s">
        <v>56</v>
      </c>
      <c r="D49" s="453"/>
      <c r="E49" s="157"/>
      <c r="F49" s="158"/>
      <c r="G49" s="159"/>
      <c r="H49" s="456">
        <f>E20/12*5%</f>
        <v>3.2583333333333336E-4</v>
      </c>
      <c r="I49" s="457"/>
      <c r="J49" s="453"/>
      <c r="K49" s="136"/>
    </row>
    <row r="50" spans="1:11" x14ac:dyDescent="0.25">
      <c r="A50" s="452" t="s">
        <v>7</v>
      </c>
      <c r="B50" s="453"/>
      <c r="C50" s="452" t="s">
        <v>57</v>
      </c>
      <c r="D50" s="453"/>
      <c r="E50" s="157"/>
      <c r="F50" s="158"/>
      <c r="G50" s="159"/>
      <c r="H50" s="456">
        <f>E12/30/12</f>
        <v>5.1531944444444449</v>
      </c>
      <c r="I50" s="457"/>
      <c r="J50" s="453"/>
      <c r="K50" s="136"/>
    </row>
    <row r="51" spans="1:11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0.38648958333333333</v>
      </c>
      <c r="I51" s="450"/>
      <c r="J51" s="450"/>
      <c r="K51" s="136"/>
    </row>
    <row r="52" spans="1:11" ht="29.25" customHeight="1" x14ac:dyDescent="0.25">
      <c r="A52" s="481" t="s">
        <v>9</v>
      </c>
      <c r="B52" s="481"/>
      <c r="C52" s="284" t="s">
        <v>59</v>
      </c>
      <c r="D52" s="286"/>
      <c r="E52" s="480"/>
      <c r="F52" s="480"/>
      <c r="G52" s="480"/>
      <c r="H52" s="450">
        <f>E12/30/12*15*8%</f>
        <v>6.1838333333333342</v>
      </c>
      <c r="I52" s="450"/>
      <c r="J52" s="450"/>
      <c r="K52" s="136"/>
    </row>
    <row r="53" spans="1:11" x14ac:dyDescent="0.25">
      <c r="A53" s="481" t="s">
        <v>10</v>
      </c>
      <c r="B53" s="481"/>
      <c r="C53" s="478" t="s">
        <v>60</v>
      </c>
      <c r="D53" s="479"/>
      <c r="E53" s="480"/>
      <c r="F53" s="480"/>
      <c r="G53" s="480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481" t="s">
        <v>11</v>
      </c>
      <c r="B54" s="481"/>
      <c r="C54" s="478" t="s">
        <v>61</v>
      </c>
      <c r="D54" s="479"/>
      <c r="E54" s="480"/>
      <c r="F54" s="480"/>
      <c r="G54" s="480"/>
      <c r="H54" s="450">
        <f>E12/30/12*5*40%</f>
        <v>10.30638888888889</v>
      </c>
      <c r="I54" s="450"/>
      <c r="J54" s="450"/>
      <c r="K54" s="136"/>
    </row>
    <row r="55" spans="1:11" ht="28.5" customHeight="1" x14ac:dyDescent="0.25">
      <c r="A55" s="481" t="s">
        <v>39</v>
      </c>
      <c r="B55" s="481"/>
      <c r="C55" s="478" t="s">
        <v>62</v>
      </c>
      <c r="D55" s="479"/>
      <c r="E55" s="480"/>
      <c r="F55" s="480"/>
      <c r="G55" s="480"/>
      <c r="H55" s="450">
        <f>SUM(H49:J54)*39.8%</f>
        <v>8.7695885491666665</v>
      </c>
      <c r="I55" s="450"/>
      <c r="J55" s="450"/>
      <c r="K55" s="136"/>
    </row>
    <row r="56" spans="1:11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30.803730632500002</v>
      </c>
      <c r="I56" s="592"/>
      <c r="J56" s="592"/>
      <c r="K56" s="136"/>
    </row>
    <row r="57" spans="1:11" ht="17.25" customHeight="1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1" ht="30.75" customHeight="1" x14ac:dyDescent="0.25">
      <c r="A58" s="452" t="s">
        <v>2</v>
      </c>
      <c r="B58" s="453"/>
      <c r="C58" s="454" t="s">
        <v>64</v>
      </c>
      <c r="D58" s="455"/>
      <c r="E58" s="157"/>
      <c r="F58" s="158"/>
      <c r="G58" s="159"/>
      <c r="H58" s="456">
        <f>((((E12+(E12/3))*0.3333)/12)*2%)</f>
        <v>1.3740477666666666</v>
      </c>
      <c r="I58" s="457"/>
      <c r="J58" s="453"/>
      <c r="K58" s="136"/>
    </row>
    <row r="59" spans="1:11" ht="42" customHeight="1" x14ac:dyDescent="0.25">
      <c r="A59" s="452" t="s">
        <v>7</v>
      </c>
      <c r="B59" s="453"/>
      <c r="C59" s="454" t="s">
        <v>65</v>
      </c>
      <c r="D59" s="455"/>
      <c r="E59" s="157"/>
      <c r="F59" s="158"/>
      <c r="G59" s="159"/>
      <c r="H59" s="456">
        <f>H58*39.8%</f>
        <v>0.54687101113333325</v>
      </c>
      <c r="I59" s="457"/>
      <c r="J59" s="453"/>
      <c r="K59" s="136"/>
    </row>
    <row r="60" spans="1:11" ht="42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5.3270291718665996</v>
      </c>
      <c r="I60" s="450"/>
      <c r="J60" s="450"/>
      <c r="K60" s="136"/>
    </row>
    <row r="61" spans="1:11" x14ac:dyDescent="0.25">
      <c r="A61" s="481" t="s">
        <v>9</v>
      </c>
      <c r="B61" s="481"/>
      <c r="C61" s="482" t="s">
        <v>67</v>
      </c>
      <c r="D61" s="483"/>
      <c r="E61" s="480"/>
      <c r="F61" s="480"/>
      <c r="G61" s="480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7.2479479496665995</v>
      </c>
      <c r="I62" s="592"/>
      <c r="J62" s="592"/>
      <c r="K62" s="136"/>
    </row>
    <row r="63" spans="1:11" ht="17.25" customHeight="1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1" ht="29.25" customHeight="1" x14ac:dyDescent="0.25">
      <c r="A64" s="452" t="s">
        <v>2</v>
      </c>
      <c r="B64" s="453"/>
      <c r="C64" s="454" t="s">
        <v>69</v>
      </c>
      <c r="D64" s="455"/>
      <c r="E64" s="157"/>
      <c r="F64" s="158"/>
      <c r="G64" s="159"/>
      <c r="H64" s="456">
        <f>((((E18+(E18/3))*0.3333)/12)*2%)</f>
        <v>8.9620666666666654E-5</v>
      </c>
      <c r="I64" s="457"/>
      <c r="J64" s="453"/>
      <c r="K64" s="136"/>
    </row>
    <row r="65" spans="1:11" ht="29.25" customHeight="1" x14ac:dyDescent="0.25">
      <c r="A65" s="452" t="s">
        <v>7</v>
      </c>
      <c r="B65" s="453"/>
      <c r="C65" s="454" t="s">
        <v>70</v>
      </c>
      <c r="D65" s="455"/>
      <c r="E65" s="157"/>
      <c r="F65" s="158"/>
      <c r="G65" s="159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589"/>
      <c r="F66" s="590"/>
      <c r="G66" s="591"/>
      <c r="H66" s="592">
        <f>SUM(H64:J65)</f>
        <v>1.2528969199999997E-4</v>
      </c>
      <c r="I66" s="592"/>
      <c r="J66" s="592"/>
      <c r="K66" s="136"/>
    </row>
    <row r="67" spans="1:11" ht="15.75" thickBot="1" x14ac:dyDescent="0.3">
      <c r="A67" s="458" t="s">
        <v>71</v>
      </c>
      <c r="B67" s="459"/>
      <c r="C67" s="459"/>
      <c r="D67" s="460"/>
      <c r="E67" s="622">
        <f>H66+H62+H56</f>
        <v>38.051803871858603</v>
      </c>
      <c r="F67" s="623"/>
      <c r="G67" s="623"/>
      <c r="H67" s="623"/>
      <c r="I67" s="623"/>
      <c r="J67" s="623"/>
      <c r="K67" s="136"/>
    </row>
    <row r="68" spans="1:11" ht="13.5" customHeight="1" thickBot="1" x14ac:dyDescent="0.3">
      <c r="A68" s="135"/>
      <c r="B68" s="135"/>
      <c r="C68" s="135"/>
      <c r="D68" s="135"/>
      <c r="E68" s="135"/>
      <c r="F68" s="135"/>
      <c r="G68" s="135"/>
      <c r="H68" s="135"/>
      <c r="I68" s="135"/>
      <c r="J68" s="135"/>
      <c r="K68" s="136"/>
    </row>
    <row r="69" spans="1:11" ht="27" customHeight="1" thickBot="1" x14ac:dyDescent="0.3">
      <c r="A69" s="564" t="s">
        <v>73</v>
      </c>
      <c r="B69" s="565"/>
      <c r="C69" s="565"/>
      <c r="D69" s="565"/>
      <c r="E69" s="565"/>
      <c r="F69" s="565"/>
      <c r="G69" s="565"/>
      <c r="H69" s="565"/>
      <c r="I69" s="565"/>
      <c r="J69" s="566"/>
      <c r="K69" s="136"/>
    </row>
    <row r="70" spans="1:11" x14ac:dyDescent="0.25">
      <c r="A70" s="452" t="s">
        <v>2</v>
      </c>
      <c r="B70" s="453"/>
      <c r="C70" s="452" t="s">
        <v>74</v>
      </c>
      <c r="D70" s="453"/>
      <c r="E70" s="452"/>
      <c r="F70" s="457"/>
      <c r="G70" s="453"/>
      <c r="H70" s="456">
        <v>350</v>
      </c>
      <c r="I70" s="457"/>
      <c r="J70" s="453"/>
      <c r="K70" s="136"/>
    </row>
    <row r="71" spans="1:11" x14ac:dyDescent="0.25">
      <c r="A71" s="452" t="s">
        <v>7</v>
      </c>
      <c r="B71" s="453"/>
      <c r="C71" s="452" t="s">
        <v>75</v>
      </c>
      <c r="D71" s="453"/>
      <c r="E71" s="157"/>
      <c r="F71" s="158"/>
      <c r="G71" s="159"/>
      <c r="H71" s="456">
        <v>5.56</v>
      </c>
      <c r="I71" s="457"/>
      <c r="J71" s="453"/>
      <c r="K71" s="136"/>
    </row>
    <row r="72" spans="1:11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477" t="s">
        <v>9</v>
      </c>
      <c r="B73" s="477"/>
      <c r="C73" s="473" t="s">
        <v>28</v>
      </c>
      <c r="D73" s="474"/>
      <c r="E73" s="448"/>
      <c r="F73" s="448"/>
      <c r="G73" s="448"/>
      <c r="H73" s="449">
        <f>E31/30/12*15*8%</f>
        <v>0</v>
      </c>
      <c r="I73" s="449"/>
      <c r="J73" s="449"/>
      <c r="K73" s="136"/>
    </row>
    <row r="74" spans="1:11" ht="15.75" thickBot="1" x14ac:dyDescent="0.3">
      <c r="A74" s="570" t="s">
        <v>336</v>
      </c>
      <c r="B74" s="571"/>
      <c r="C74" s="571"/>
      <c r="D74" s="571"/>
      <c r="E74" s="571"/>
      <c r="F74" s="571"/>
      <c r="G74" s="572"/>
      <c r="H74" s="547">
        <f>SUM(H70:J73)</f>
        <v>398.31</v>
      </c>
      <c r="I74" s="485"/>
      <c r="J74" s="486"/>
      <c r="K74" s="136"/>
    </row>
    <row r="75" spans="1:11" ht="9" customHeight="1" thickBot="1" x14ac:dyDescent="0.3">
      <c r="E75" s="160"/>
      <c r="F75" s="160"/>
      <c r="G75" s="160"/>
      <c r="K75" s="136"/>
    </row>
    <row r="76" spans="1:11" ht="27" customHeight="1" thickBot="1" x14ac:dyDescent="0.3">
      <c r="A76" s="564" t="s">
        <v>84</v>
      </c>
      <c r="B76" s="565"/>
      <c r="C76" s="565"/>
      <c r="D76" s="565"/>
      <c r="E76" s="565"/>
      <c r="F76" s="565"/>
      <c r="G76" s="565"/>
      <c r="H76" s="565"/>
      <c r="I76" s="565"/>
      <c r="J76" s="566"/>
      <c r="K76" s="136"/>
    </row>
    <row r="77" spans="1:11" x14ac:dyDescent="0.25">
      <c r="A77" s="452" t="s">
        <v>2</v>
      </c>
      <c r="B77" s="453"/>
      <c r="C77" s="452" t="s">
        <v>77</v>
      </c>
      <c r="D77" s="453"/>
      <c r="E77" s="537">
        <v>7.0000000000000007E-2</v>
      </c>
      <c r="F77" s="457"/>
      <c r="G77" s="453"/>
      <c r="H77" s="456">
        <f>(H74+E67+H46+E37+E12)*E77</f>
        <v>284.62802298456347</v>
      </c>
      <c r="I77" s="457"/>
      <c r="J77" s="453"/>
      <c r="K77" s="136"/>
    </row>
    <row r="78" spans="1:11" x14ac:dyDescent="0.25">
      <c r="A78" s="452" t="s">
        <v>7</v>
      </c>
      <c r="B78" s="453"/>
      <c r="C78" s="452" t="s">
        <v>12</v>
      </c>
      <c r="D78" s="453"/>
      <c r="E78" s="537">
        <v>7.5775276633744088E-2</v>
      </c>
      <c r="F78" s="457"/>
      <c r="G78" s="453"/>
      <c r="H78" s="456">
        <f>E78*(H74+E67+H46+E37+E12)</f>
        <v>308.11095970529954</v>
      </c>
      <c r="I78" s="457"/>
      <c r="J78" s="453"/>
      <c r="K78" s="136"/>
    </row>
    <row r="79" spans="1:11" ht="15" customHeight="1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450">
        <f>(H74+E67+H46+E37+E12)/E79</f>
        <v>4741.8246228165508</v>
      </c>
      <c r="I79" s="450"/>
      <c r="J79" s="450"/>
      <c r="K79" s="136"/>
    </row>
    <row r="80" spans="1:11" ht="15" customHeight="1" x14ac:dyDescent="0.25">
      <c r="A80" s="481" t="s">
        <v>9</v>
      </c>
      <c r="B80" s="481"/>
      <c r="C80" s="482" t="s">
        <v>79</v>
      </c>
      <c r="D80" s="483"/>
      <c r="E80" s="480">
        <v>1.6500000000000001E-2</v>
      </c>
      <c r="F80" s="480"/>
      <c r="G80" s="480"/>
      <c r="H80" s="450">
        <f>E80*J88</f>
        <v>53.111850000000004</v>
      </c>
      <c r="I80" s="450"/>
      <c r="J80" s="450"/>
      <c r="K80" s="136"/>
    </row>
    <row r="81" spans="1:11" ht="15" customHeight="1" x14ac:dyDescent="0.25">
      <c r="A81" s="481" t="s">
        <v>9</v>
      </c>
      <c r="B81" s="481"/>
      <c r="C81" s="482" t="s">
        <v>80</v>
      </c>
      <c r="D81" s="483"/>
      <c r="E81" s="480">
        <v>7.5999999999999998E-2</v>
      </c>
      <c r="F81" s="480"/>
      <c r="G81" s="480"/>
      <c r="H81" s="450">
        <f>E81*J88</f>
        <v>244.63640000000001</v>
      </c>
      <c r="I81" s="450"/>
      <c r="J81" s="450"/>
      <c r="K81" s="136"/>
    </row>
    <row r="82" spans="1:11" x14ac:dyDescent="0.25">
      <c r="A82" s="481" t="s">
        <v>10</v>
      </c>
      <c r="B82" s="481"/>
      <c r="C82" s="482" t="s">
        <v>81</v>
      </c>
      <c r="D82" s="483"/>
      <c r="E82" s="480"/>
      <c r="F82" s="480"/>
      <c r="G82" s="480"/>
      <c r="H82" s="450"/>
      <c r="I82" s="450"/>
      <c r="J82" s="450"/>
      <c r="K82" s="136"/>
    </row>
    <row r="83" spans="1:11" ht="15.75" thickBot="1" x14ac:dyDescent="0.3">
      <c r="A83" s="477" t="s">
        <v>11</v>
      </c>
      <c r="B83" s="477"/>
      <c r="C83" s="473" t="s">
        <v>110</v>
      </c>
      <c r="D83" s="474"/>
      <c r="E83" s="448">
        <v>0.05</v>
      </c>
      <c r="F83" s="448"/>
      <c r="G83" s="448"/>
      <c r="H83" s="449">
        <f>E83*J88</f>
        <v>160.94500000000002</v>
      </c>
      <c r="I83" s="449"/>
      <c r="J83" s="449"/>
      <c r="K83" s="136"/>
    </row>
    <row r="84" spans="1:11" ht="17.25" customHeight="1" thickBot="1" x14ac:dyDescent="0.3">
      <c r="A84" s="570" t="s">
        <v>335</v>
      </c>
      <c r="B84" s="571"/>
      <c r="C84" s="571"/>
      <c r="D84" s="571"/>
      <c r="E84" s="571"/>
      <c r="F84" s="571"/>
      <c r="G84" s="572"/>
      <c r="H84" s="547">
        <f>H77+H78+H80+H81+H83</f>
        <v>1051.432232689863</v>
      </c>
      <c r="I84" s="485"/>
      <c r="J84" s="486"/>
      <c r="K84" s="136"/>
    </row>
    <row r="85" spans="1:11" ht="13.5" customHeight="1" thickBot="1" x14ac:dyDescent="0.3">
      <c r="E85" s="160"/>
      <c r="F85" s="160"/>
      <c r="G85" s="160"/>
      <c r="K85" s="136"/>
    </row>
    <row r="86" spans="1:11" ht="17.25" customHeight="1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534">
        <f>SUM(H84+H74+E67+H46+E37+E12)</f>
        <v>5117.5468467550545</v>
      </c>
      <c r="I86" s="535"/>
      <c r="J86" s="536"/>
    </row>
    <row r="88" spans="1:11" x14ac:dyDescent="0.25">
      <c r="J88" s="174">
        <v>3218.9</v>
      </c>
    </row>
    <row r="89" spans="1:11" ht="15.75" thickBot="1" x14ac:dyDescent="0.3">
      <c r="D89" s="175"/>
    </row>
  </sheetData>
  <mergeCells count="230">
    <mergeCell ref="B9:D9"/>
    <mergeCell ref="E9:J9"/>
    <mergeCell ref="B10:D10"/>
    <mergeCell ref="E10:J10"/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  <mergeCell ref="B11:D11"/>
    <mergeCell ref="E11:J11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12:D12"/>
    <mergeCell ref="E12:J12"/>
    <mergeCell ref="A13:D13"/>
    <mergeCell ref="E13:J13"/>
    <mergeCell ref="A14:J14"/>
    <mergeCell ref="A15:J15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2" tint="-9.9948118533890809E-2"/>
  </sheetPr>
  <dimension ref="A1:K89"/>
  <sheetViews>
    <sheetView workbookViewId="0">
      <selection activeCell="O52" sqref="O52"/>
    </sheetView>
  </sheetViews>
  <sheetFormatPr defaultRowHeight="15" x14ac:dyDescent="0.25"/>
  <cols>
    <col min="1" max="1" width="2.85546875" customWidth="1"/>
    <col min="2" max="2" width="2" bestFit="1" customWidth="1"/>
    <col min="3" max="3" width="15.28515625" customWidth="1"/>
    <col min="4" max="4" width="35.7109375" customWidth="1"/>
    <col min="5" max="7" width="3.140625" customWidth="1"/>
    <col min="8" max="8" width="4.140625" style="18" customWidth="1"/>
    <col min="9" max="9" width="3.7109375" style="18" hidden="1" customWidth="1"/>
    <col min="10" max="10" width="14.85546875" style="18" customWidth="1"/>
  </cols>
  <sheetData>
    <row r="1" spans="1:11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23"/>
    </row>
    <row r="2" spans="1:11" ht="22.5" customHeight="1" thickBot="1" x14ac:dyDescent="0.3">
      <c r="A2" s="554" t="s">
        <v>0</v>
      </c>
      <c r="B2" s="555"/>
      <c r="C2" s="556"/>
      <c r="D2" s="557" t="s">
        <v>337</v>
      </c>
      <c r="E2" s="558"/>
      <c r="F2" s="558"/>
      <c r="G2" s="558"/>
      <c r="H2" s="558"/>
      <c r="I2" s="558"/>
      <c r="J2" s="559"/>
      <c r="K2" s="23"/>
    </row>
    <row r="3" spans="1:11" ht="9" customHeight="1" thickBot="1" x14ac:dyDescent="0.3">
      <c r="A3" s="267"/>
      <c r="B3" s="232"/>
      <c r="C3" s="232"/>
      <c r="D3" s="232"/>
      <c r="E3" s="232"/>
      <c r="F3" s="232"/>
      <c r="G3" s="232"/>
      <c r="H3" s="232"/>
      <c r="I3" s="232"/>
      <c r="J3" s="265"/>
      <c r="K3" s="23"/>
    </row>
    <row r="4" spans="1:11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23"/>
    </row>
    <row r="5" spans="1:11" x14ac:dyDescent="0.25">
      <c r="A5" s="232" t="s">
        <v>31</v>
      </c>
      <c r="B5" s="232"/>
      <c r="C5" s="232"/>
      <c r="D5" s="232"/>
      <c r="E5" s="232"/>
      <c r="F5" s="232"/>
      <c r="G5" s="232"/>
      <c r="H5" s="232"/>
      <c r="I5" s="232"/>
      <c r="J5" s="232"/>
      <c r="K5" s="23"/>
    </row>
    <row r="6" spans="1:11" x14ac:dyDescent="0.25">
      <c r="A6" s="121" t="s">
        <v>2</v>
      </c>
      <c r="B6" s="702" t="s">
        <v>1</v>
      </c>
      <c r="C6" s="703"/>
      <c r="D6" s="704"/>
      <c r="E6" s="712">
        <v>1855.15</v>
      </c>
      <c r="F6" s="713"/>
      <c r="G6" s="713"/>
      <c r="H6" s="713"/>
      <c r="I6" s="713"/>
      <c r="J6" s="713"/>
      <c r="K6" s="23"/>
    </row>
    <row r="7" spans="1:11" x14ac:dyDescent="0.25">
      <c r="A7" s="121" t="s">
        <v>7</v>
      </c>
      <c r="B7" s="702" t="s">
        <v>25</v>
      </c>
      <c r="C7" s="703"/>
      <c r="D7" s="704"/>
      <c r="E7" s="705"/>
      <c r="F7" s="706"/>
      <c r="G7" s="706"/>
      <c r="H7" s="706"/>
      <c r="I7" s="706"/>
      <c r="J7" s="707"/>
      <c r="K7" s="23"/>
    </row>
    <row r="8" spans="1:11" x14ac:dyDescent="0.25">
      <c r="A8" s="121" t="s">
        <v>8</v>
      </c>
      <c r="B8" s="702" t="s">
        <v>26</v>
      </c>
      <c r="C8" s="703"/>
      <c r="D8" s="704"/>
      <c r="E8" s="705">
        <f>(((E6/210)*20%)*9)*16</f>
        <v>254.42057142857146</v>
      </c>
      <c r="F8" s="706"/>
      <c r="G8" s="706"/>
      <c r="H8" s="706"/>
      <c r="I8" s="706"/>
      <c r="J8" s="707"/>
      <c r="K8" s="23"/>
    </row>
    <row r="9" spans="1:11" x14ac:dyDescent="0.25">
      <c r="A9" s="121" t="s">
        <v>9</v>
      </c>
      <c r="B9" s="702" t="s">
        <v>27</v>
      </c>
      <c r="C9" s="703"/>
      <c r="D9" s="704"/>
      <c r="E9" s="705">
        <f>(((E6/210)*20%)*0.14)*16</f>
        <v>3.9576533333333344</v>
      </c>
      <c r="F9" s="706"/>
      <c r="G9" s="706"/>
      <c r="H9" s="706"/>
      <c r="I9" s="706"/>
      <c r="J9" s="707"/>
      <c r="K9" s="23"/>
    </row>
    <row r="10" spans="1:11" x14ac:dyDescent="0.25">
      <c r="A10" s="121" t="s">
        <v>10</v>
      </c>
      <c r="B10" s="702" t="s">
        <v>148</v>
      </c>
      <c r="C10" s="703"/>
      <c r="D10" s="704"/>
      <c r="E10" s="708">
        <f>((E8+E9)/25)*5</f>
        <v>51.675644952380956</v>
      </c>
      <c r="F10" s="708"/>
      <c r="G10" s="708"/>
      <c r="H10" s="708"/>
      <c r="I10" s="708"/>
      <c r="J10" s="708"/>
      <c r="K10" s="23"/>
    </row>
    <row r="11" spans="1:11" ht="32.25" customHeight="1" thickBot="1" x14ac:dyDescent="0.3">
      <c r="A11" s="122" t="s">
        <v>11</v>
      </c>
      <c r="B11" s="709" t="s">
        <v>92</v>
      </c>
      <c r="C11" s="710"/>
      <c r="D11" s="711"/>
      <c r="E11" s="633"/>
      <c r="F11" s="633"/>
      <c r="G11" s="633"/>
      <c r="H11" s="633"/>
      <c r="I11" s="633"/>
      <c r="J11" s="633"/>
      <c r="K11" s="23"/>
    </row>
    <row r="12" spans="1:11" ht="15.75" thickBot="1" x14ac:dyDescent="0.3">
      <c r="A12" s="645" t="s">
        <v>330</v>
      </c>
      <c r="B12" s="646"/>
      <c r="C12" s="646"/>
      <c r="D12" s="647"/>
      <c r="E12" s="641">
        <f>SUM(E6:J11)</f>
        <v>2165.2038697142857</v>
      </c>
      <c r="F12" s="642"/>
      <c r="G12" s="642"/>
      <c r="H12" s="642"/>
      <c r="I12" s="642"/>
      <c r="J12" s="643"/>
      <c r="K12" s="23"/>
    </row>
    <row r="13" spans="1:11" ht="30.75" customHeight="1" x14ac:dyDescent="0.25">
      <c r="A13" s="551" t="s">
        <v>29</v>
      </c>
      <c r="B13" s="552"/>
      <c r="C13" s="552"/>
      <c r="D13" s="553"/>
      <c r="E13" s="548">
        <f>E12*E30</f>
        <v>796.79502405485721</v>
      </c>
      <c r="F13" s="549"/>
      <c r="G13" s="549"/>
      <c r="H13" s="549"/>
      <c r="I13" s="549"/>
      <c r="J13" s="550"/>
      <c r="K13" s="23"/>
    </row>
    <row r="14" spans="1:11" ht="9" customHeight="1" thickBot="1" x14ac:dyDescent="0.3">
      <c r="A14" s="267"/>
      <c r="B14" s="232"/>
      <c r="C14" s="232"/>
      <c r="D14" s="232"/>
      <c r="E14" s="232"/>
      <c r="F14" s="232"/>
      <c r="G14" s="232"/>
      <c r="H14" s="232"/>
      <c r="I14" s="232"/>
      <c r="J14" s="265"/>
      <c r="K14" s="23"/>
    </row>
    <row r="15" spans="1:11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23"/>
    </row>
    <row r="16" spans="1:11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23"/>
    </row>
    <row r="17" spans="1:11" x14ac:dyDescent="0.25">
      <c r="A17" s="121" t="s">
        <v>2</v>
      </c>
      <c r="B17" s="679" t="s">
        <v>125</v>
      </c>
      <c r="C17" s="695"/>
      <c r="D17" s="680"/>
      <c r="E17" s="696">
        <v>8.3299999999999999E-2</v>
      </c>
      <c r="F17" s="697"/>
      <c r="G17" s="698"/>
      <c r="H17" s="271">
        <f>E17*E12</f>
        <v>180.3614823472</v>
      </c>
      <c r="I17" s="271"/>
      <c r="J17" s="271"/>
      <c r="K17" s="23"/>
    </row>
    <row r="18" spans="1:11" x14ac:dyDescent="0.25">
      <c r="A18" s="121" t="s">
        <v>7</v>
      </c>
      <c r="B18" s="679" t="s">
        <v>35</v>
      </c>
      <c r="C18" s="695"/>
      <c r="D18" s="680"/>
      <c r="E18" s="699">
        <v>0.121</v>
      </c>
      <c r="F18" s="700"/>
      <c r="G18" s="701"/>
      <c r="H18" s="271">
        <f>E18*E12</f>
        <v>261.98966823542855</v>
      </c>
      <c r="I18" s="271"/>
      <c r="J18" s="271"/>
      <c r="K18" s="23"/>
    </row>
    <row r="19" spans="1:11" x14ac:dyDescent="0.25">
      <c r="A19" s="687" t="s">
        <v>36</v>
      </c>
      <c r="B19" s="688"/>
      <c r="C19" s="688"/>
      <c r="D19" s="688"/>
      <c r="E19" s="688"/>
      <c r="F19" s="688"/>
      <c r="G19" s="689"/>
      <c r="H19" s="690">
        <f>SUM(H17:J18)</f>
        <v>442.35115058262852</v>
      </c>
      <c r="I19" s="690"/>
      <c r="J19" s="690"/>
      <c r="K19" s="23"/>
    </row>
    <row r="20" spans="1:11" ht="31.5" customHeight="1" thickBot="1" x14ac:dyDescent="0.3">
      <c r="A20" s="123" t="s">
        <v>8</v>
      </c>
      <c r="B20" s="478" t="s">
        <v>37</v>
      </c>
      <c r="C20" s="691"/>
      <c r="D20" s="479"/>
      <c r="E20" s="692">
        <v>7.8200000000000006E-2</v>
      </c>
      <c r="F20" s="693"/>
      <c r="G20" s="694"/>
      <c r="H20" s="290">
        <f>E12*E20</f>
        <v>169.31894261165715</v>
      </c>
      <c r="I20" s="291"/>
      <c r="J20" s="292"/>
      <c r="K20" s="23"/>
    </row>
    <row r="21" spans="1:11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23"/>
    </row>
    <row r="22" spans="1:11" x14ac:dyDescent="0.25">
      <c r="A22" s="265" t="s">
        <v>2</v>
      </c>
      <c r="B22" s="267"/>
      <c r="C22" s="676" t="s">
        <v>3</v>
      </c>
      <c r="D22" s="677"/>
      <c r="E22" s="678">
        <v>0.2</v>
      </c>
      <c r="F22" s="678"/>
      <c r="G22" s="678"/>
      <c r="H22" s="271">
        <f>E22*(E12+H19)</f>
        <v>521.51100405938291</v>
      </c>
      <c r="I22" s="271"/>
      <c r="J22" s="271"/>
      <c r="K22" s="23"/>
    </row>
    <row r="23" spans="1:11" x14ac:dyDescent="0.25">
      <c r="A23" s="265" t="s">
        <v>7</v>
      </c>
      <c r="B23" s="267"/>
      <c r="C23" s="265" t="s">
        <v>41</v>
      </c>
      <c r="D23" s="267"/>
      <c r="E23" s="672">
        <v>2.5000000000000001E-2</v>
      </c>
      <c r="F23" s="672"/>
      <c r="G23" s="672"/>
      <c r="H23" s="271">
        <f>E23*(E12+H19)</f>
        <v>65.188875507422864</v>
      </c>
      <c r="I23" s="271"/>
      <c r="J23" s="271"/>
      <c r="K23" s="23"/>
    </row>
    <row r="24" spans="1:11" x14ac:dyDescent="0.25">
      <c r="A24" s="265" t="s">
        <v>8</v>
      </c>
      <c r="B24" s="267"/>
      <c r="C24" s="684" t="s">
        <v>42</v>
      </c>
      <c r="D24" s="685"/>
      <c r="E24" s="686">
        <v>0.03</v>
      </c>
      <c r="F24" s="686"/>
      <c r="G24" s="686"/>
      <c r="H24" s="271">
        <f>E24*(E12+H19)</f>
        <v>78.226650608907434</v>
      </c>
      <c r="I24" s="271"/>
      <c r="J24" s="271"/>
      <c r="K24" s="23"/>
    </row>
    <row r="25" spans="1:11" x14ac:dyDescent="0.25">
      <c r="A25" s="265" t="s">
        <v>9</v>
      </c>
      <c r="B25" s="267"/>
      <c r="C25" s="265" t="s">
        <v>43</v>
      </c>
      <c r="D25" s="267"/>
      <c r="E25" s="672">
        <v>1.4999999999999999E-2</v>
      </c>
      <c r="F25" s="672"/>
      <c r="G25" s="672"/>
      <c r="H25" s="271">
        <f>E25*(E12+H19)</f>
        <v>39.113325304453717</v>
      </c>
      <c r="I25" s="271"/>
      <c r="J25" s="271"/>
      <c r="K25" s="23"/>
    </row>
    <row r="26" spans="1:11" x14ac:dyDescent="0.25">
      <c r="A26" s="265" t="s">
        <v>10</v>
      </c>
      <c r="B26" s="267"/>
      <c r="C26" s="265" t="s">
        <v>44</v>
      </c>
      <c r="D26" s="267"/>
      <c r="E26" s="672">
        <v>0.01</v>
      </c>
      <c r="F26" s="672"/>
      <c r="G26" s="672"/>
      <c r="H26" s="271">
        <f>E26*(E12+H19)</f>
        <v>26.075550202969143</v>
      </c>
      <c r="I26" s="271"/>
      <c r="J26" s="271"/>
      <c r="K26" s="23"/>
    </row>
    <row r="27" spans="1:11" x14ac:dyDescent="0.25">
      <c r="A27" s="265" t="s">
        <v>11</v>
      </c>
      <c r="B27" s="267"/>
      <c r="C27" s="265" t="s">
        <v>6</v>
      </c>
      <c r="D27" s="267"/>
      <c r="E27" s="672">
        <v>6.0000000000000001E-3</v>
      </c>
      <c r="F27" s="672"/>
      <c r="G27" s="672"/>
      <c r="H27" s="271">
        <f>E27*(E12+H19)</f>
        <v>15.645330121781486</v>
      </c>
      <c r="I27" s="271"/>
      <c r="J27" s="271"/>
      <c r="K27" s="23"/>
    </row>
    <row r="28" spans="1:11" x14ac:dyDescent="0.25">
      <c r="A28" s="265" t="s">
        <v>39</v>
      </c>
      <c r="B28" s="267"/>
      <c r="C28" s="265" t="s">
        <v>5</v>
      </c>
      <c r="D28" s="267"/>
      <c r="E28" s="672">
        <v>2E-3</v>
      </c>
      <c r="F28" s="672"/>
      <c r="G28" s="672"/>
      <c r="H28" s="271">
        <f>E28*(E12+H19)</f>
        <v>5.2151100405938289</v>
      </c>
      <c r="I28" s="271"/>
      <c r="J28" s="271"/>
      <c r="K28" s="23"/>
    </row>
    <row r="29" spans="1:11" x14ac:dyDescent="0.25">
      <c r="A29" s="679" t="s">
        <v>40</v>
      </c>
      <c r="B29" s="680"/>
      <c r="C29" s="265" t="s">
        <v>4</v>
      </c>
      <c r="D29" s="266"/>
      <c r="E29" s="681">
        <v>0.08</v>
      </c>
      <c r="F29" s="682"/>
      <c r="G29" s="683"/>
      <c r="H29" s="271">
        <f>E29*(E12+H19)</f>
        <v>208.60440162375315</v>
      </c>
      <c r="I29" s="271"/>
      <c r="J29" s="271"/>
      <c r="K29" s="23"/>
    </row>
    <row r="30" spans="1:11" ht="15.75" thickBot="1" x14ac:dyDescent="0.3">
      <c r="A30" s="656" t="s">
        <v>36</v>
      </c>
      <c r="B30" s="656"/>
      <c r="C30" s="656"/>
      <c r="D30" s="656"/>
      <c r="E30" s="657">
        <f>SUM(E22:G29)</f>
        <v>0.36800000000000005</v>
      </c>
      <c r="F30" s="658"/>
      <c r="G30" s="659"/>
      <c r="H30" s="660">
        <f>SUM(H22:J29)</f>
        <v>959.58024746926446</v>
      </c>
      <c r="I30" s="660"/>
      <c r="J30" s="660"/>
      <c r="K30" s="23"/>
    </row>
    <row r="31" spans="1:11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23"/>
    </row>
    <row r="32" spans="1:11" x14ac:dyDescent="0.25">
      <c r="A32" s="265" t="s">
        <v>2</v>
      </c>
      <c r="B32" s="267"/>
      <c r="C32" s="676" t="s">
        <v>46</v>
      </c>
      <c r="D32" s="677"/>
      <c r="E32" s="678"/>
      <c r="F32" s="678"/>
      <c r="G32" s="678"/>
      <c r="H32" s="271">
        <f>(3.9*2*16)-6%*E6</f>
        <v>13.491</v>
      </c>
      <c r="I32" s="271"/>
      <c r="J32" s="271"/>
      <c r="K32" s="23"/>
    </row>
    <row r="33" spans="1:11" x14ac:dyDescent="0.25">
      <c r="A33" s="265" t="s">
        <v>7</v>
      </c>
      <c r="B33" s="267"/>
      <c r="C33" s="265" t="s">
        <v>47</v>
      </c>
      <c r="D33" s="267"/>
      <c r="E33" s="672"/>
      <c r="F33" s="672"/>
      <c r="G33" s="672"/>
      <c r="H33" s="271">
        <f>21.63*16-20%</f>
        <v>345.88</v>
      </c>
      <c r="I33" s="271"/>
      <c r="J33" s="271"/>
      <c r="K33" s="23"/>
    </row>
    <row r="34" spans="1:11" x14ac:dyDescent="0.25">
      <c r="A34" s="265" t="s">
        <v>8</v>
      </c>
      <c r="B34" s="267"/>
      <c r="C34" s="284" t="s">
        <v>49</v>
      </c>
      <c r="D34" s="286"/>
      <c r="E34" s="672"/>
      <c r="F34" s="672"/>
      <c r="G34" s="672"/>
      <c r="H34" s="271">
        <v>36.57</v>
      </c>
      <c r="I34" s="271"/>
      <c r="J34" s="271"/>
      <c r="K34" s="23"/>
    </row>
    <row r="35" spans="1:11" x14ac:dyDescent="0.25">
      <c r="A35" s="265" t="s">
        <v>9</v>
      </c>
      <c r="B35" s="267"/>
      <c r="C35" s="342" t="s">
        <v>149</v>
      </c>
      <c r="D35" s="343"/>
      <c r="E35" s="672"/>
      <c r="F35" s="672"/>
      <c r="G35" s="672"/>
      <c r="H35" s="271">
        <v>25.95</v>
      </c>
      <c r="I35" s="271"/>
      <c r="J35" s="271"/>
      <c r="K35" s="23"/>
    </row>
    <row r="36" spans="1:11" ht="15.75" thickBot="1" x14ac:dyDescent="0.3">
      <c r="A36" s="673" t="s">
        <v>38</v>
      </c>
      <c r="B36" s="674"/>
      <c r="C36" s="674"/>
      <c r="D36" s="674"/>
      <c r="E36" s="674"/>
      <c r="F36" s="674"/>
      <c r="G36" s="675"/>
      <c r="H36" s="655">
        <f>SUM(H32:J35)</f>
        <v>421.89099999999996</v>
      </c>
      <c r="I36" s="655"/>
      <c r="J36" s="655"/>
      <c r="K36" s="23"/>
    </row>
    <row r="37" spans="1:11" ht="15.75" thickBot="1" x14ac:dyDescent="0.3">
      <c r="A37" s="645" t="s">
        <v>72</v>
      </c>
      <c r="B37" s="646"/>
      <c r="C37" s="646"/>
      <c r="D37" s="647"/>
      <c r="E37" s="648">
        <f>H19+H30+H36</f>
        <v>1823.8223980518928</v>
      </c>
      <c r="F37" s="649"/>
      <c r="G37" s="649"/>
      <c r="H37" s="649"/>
      <c r="I37" s="649"/>
      <c r="J37" s="650"/>
      <c r="K37" s="23"/>
    </row>
    <row r="38" spans="1:11" ht="12" customHeight="1" thickBot="1" x14ac:dyDescent="0.3">
      <c r="A38" s="669"/>
      <c r="B38" s="670"/>
      <c r="C38" s="670"/>
      <c r="D38" s="670"/>
      <c r="E38" s="670"/>
      <c r="F38" s="670"/>
      <c r="G38" s="670"/>
      <c r="H38" s="670"/>
      <c r="I38" s="670"/>
      <c r="J38" s="671"/>
      <c r="K38" s="23"/>
    </row>
    <row r="39" spans="1:11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23"/>
    </row>
    <row r="40" spans="1:11" x14ac:dyDescent="0.25">
      <c r="A40" s="314" t="s">
        <v>2</v>
      </c>
      <c r="B40" s="315"/>
      <c r="C40" s="314" t="s">
        <v>51</v>
      </c>
      <c r="D40" s="315"/>
      <c r="E40" s="46"/>
      <c r="F40" s="48"/>
      <c r="G40" s="47"/>
      <c r="H40" s="316">
        <f>E12/12*5%</f>
        <v>9.0216827904761896</v>
      </c>
      <c r="I40" s="317"/>
      <c r="J40" s="315"/>
      <c r="K40" s="23"/>
    </row>
    <row r="41" spans="1:11" x14ac:dyDescent="0.25">
      <c r="A41" s="314" t="s">
        <v>7</v>
      </c>
      <c r="B41" s="315"/>
      <c r="C41" s="314" t="s">
        <v>52</v>
      </c>
      <c r="D41" s="315"/>
      <c r="E41" s="46"/>
      <c r="F41" s="48"/>
      <c r="G41" s="47"/>
      <c r="H41" s="316">
        <f>H40*8%</f>
        <v>0.72173462323809523</v>
      </c>
      <c r="I41" s="317"/>
      <c r="J41" s="315"/>
      <c r="K41" s="23"/>
    </row>
    <row r="42" spans="1:11" ht="30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271">
        <f>E42*E12</f>
        <v>0</v>
      </c>
      <c r="I42" s="271"/>
      <c r="J42" s="271"/>
      <c r="K42" s="23"/>
    </row>
    <row r="43" spans="1:11" x14ac:dyDescent="0.25">
      <c r="A43" s="232" t="s">
        <v>9</v>
      </c>
      <c r="B43" s="232"/>
      <c r="C43" s="265" t="s">
        <v>54</v>
      </c>
      <c r="D43" s="267"/>
      <c r="E43" s="341"/>
      <c r="F43" s="341"/>
      <c r="G43" s="341"/>
      <c r="H43" s="271">
        <f>E12/30/12*7*100%</f>
        <v>42.101186355555555</v>
      </c>
      <c r="I43" s="271"/>
      <c r="J43" s="271"/>
      <c r="K43" s="23"/>
    </row>
    <row r="44" spans="1:11" ht="31.5" customHeight="1" x14ac:dyDescent="0.25">
      <c r="A44" s="232" t="s">
        <v>10</v>
      </c>
      <c r="B44" s="232"/>
      <c r="C44" s="478" t="s">
        <v>93</v>
      </c>
      <c r="D44" s="479"/>
      <c r="E44" s="341"/>
      <c r="F44" s="341"/>
      <c r="G44" s="341"/>
      <c r="H44" s="271">
        <f>H43*39.8%</f>
        <v>16.75627216951111</v>
      </c>
      <c r="I44" s="271"/>
      <c r="J44" s="271"/>
      <c r="K44" s="23"/>
    </row>
    <row r="45" spans="1:11" ht="29.25" customHeight="1" thickBot="1" x14ac:dyDescent="0.3">
      <c r="A45" s="634" t="s">
        <v>11</v>
      </c>
      <c r="B45" s="635"/>
      <c r="C45" s="475" t="s">
        <v>53</v>
      </c>
      <c r="D45" s="476"/>
      <c r="E45" s="663"/>
      <c r="F45" s="664"/>
      <c r="G45" s="665"/>
      <c r="H45" s="666">
        <f>E12*5%</f>
        <v>108.2601934857143</v>
      </c>
      <c r="I45" s="667"/>
      <c r="J45" s="668"/>
      <c r="K45" s="23"/>
    </row>
    <row r="46" spans="1:11" ht="15.75" thickBot="1" x14ac:dyDescent="0.3">
      <c r="A46" s="638" t="s">
        <v>333</v>
      </c>
      <c r="B46" s="639"/>
      <c r="C46" s="639"/>
      <c r="D46" s="639"/>
      <c r="E46" s="639"/>
      <c r="F46" s="639"/>
      <c r="G46" s="640"/>
      <c r="H46" s="641">
        <f>SUM(H40:J45)</f>
        <v>176.86106942449524</v>
      </c>
      <c r="I46" s="642"/>
      <c r="J46" s="643"/>
      <c r="K46" s="23"/>
    </row>
    <row r="47" spans="1:11" ht="12" customHeight="1" thickBot="1" x14ac:dyDescent="0.3">
      <c r="E47" s="17"/>
      <c r="F47" s="17"/>
      <c r="G47" s="17"/>
      <c r="K47" s="23"/>
    </row>
    <row r="48" spans="1:11" ht="30" customHeight="1" thickBot="1" x14ac:dyDescent="0.3">
      <c r="A48" s="494" t="s">
        <v>128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23"/>
    </row>
    <row r="49" spans="1:11" x14ac:dyDescent="0.25">
      <c r="A49" s="314" t="s">
        <v>2</v>
      </c>
      <c r="B49" s="315"/>
      <c r="C49" s="314" t="s">
        <v>56</v>
      </c>
      <c r="D49" s="315"/>
      <c r="E49" s="46"/>
      <c r="F49" s="48"/>
      <c r="G49" s="47"/>
      <c r="H49" s="316">
        <f>E20/12*5%</f>
        <v>3.2583333333333336E-4</v>
      </c>
      <c r="I49" s="317"/>
      <c r="J49" s="315"/>
      <c r="K49" s="23"/>
    </row>
    <row r="50" spans="1:11" x14ac:dyDescent="0.25">
      <c r="A50" s="314" t="s">
        <v>7</v>
      </c>
      <c r="B50" s="315"/>
      <c r="C50" s="314" t="s">
        <v>57</v>
      </c>
      <c r="D50" s="315"/>
      <c r="E50" s="46"/>
      <c r="F50" s="48"/>
      <c r="G50" s="47"/>
      <c r="H50" s="316">
        <f>E12/30/12</f>
        <v>6.0144551936507931</v>
      </c>
      <c r="I50" s="317"/>
      <c r="J50" s="315"/>
      <c r="K50" s="23"/>
    </row>
    <row r="51" spans="1:11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271">
        <f>E12/30/12*5*1.5%</f>
        <v>0.45108413952380944</v>
      </c>
      <c r="I51" s="271"/>
      <c r="J51" s="271"/>
      <c r="K51" s="23"/>
    </row>
    <row r="52" spans="1:11" ht="30" customHeight="1" x14ac:dyDescent="0.25">
      <c r="A52" s="232" t="s">
        <v>9</v>
      </c>
      <c r="B52" s="232"/>
      <c r="C52" s="661" t="s">
        <v>59</v>
      </c>
      <c r="D52" s="662"/>
      <c r="E52" s="341"/>
      <c r="F52" s="341"/>
      <c r="G52" s="341"/>
      <c r="H52" s="271">
        <f>E12/30/12*15*8%</f>
        <v>7.2173462323809519</v>
      </c>
      <c r="I52" s="271"/>
      <c r="J52" s="271"/>
      <c r="K52" s="23"/>
    </row>
    <row r="53" spans="1:11" x14ac:dyDescent="0.25">
      <c r="A53" s="232" t="s">
        <v>10</v>
      </c>
      <c r="B53" s="232"/>
      <c r="C53" s="342" t="s">
        <v>60</v>
      </c>
      <c r="D53" s="343"/>
      <c r="E53" s="341"/>
      <c r="F53" s="341"/>
      <c r="G53" s="341"/>
      <c r="H53" s="271">
        <f>E20*5%</f>
        <v>3.9100000000000003E-3</v>
      </c>
      <c r="I53" s="271"/>
      <c r="J53" s="271"/>
      <c r="K53" s="23"/>
    </row>
    <row r="54" spans="1:11" ht="29.25" customHeight="1" x14ac:dyDescent="0.25">
      <c r="A54" s="232" t="s">
        <v>11</v>
      </c>
      <c r="B54" s="232"/>
      <c r="C54" s="342" t="s">
        <v>61</v>
      </c>
      <c r="D54" s="343"/>
      <c r="E54" s="341"/>
      <c r="F54" s="341"/>
      <c r="G54" s="341"/>
      <c r="H54" s="271">
        <f>E12/30/12*5*40%</f>
        <v>12.028910387301586</v>
      </c>
      <c r="I54" s="271"/>
      <c r="J54" s="271"/>
      <c r="K54" s="23"/>
    </row>
    <row r="55" spans="1:11" ht="30.75" customHeight="1" x14ac:dyDescent="0.25">
      <c r="A55" s="232" t="s">
        <v>39</v>
      </c>
      <c r="B55" s="232"/>
      <c r="C55" s="478" t="s">
        <v>62</v>
      </c>
      <c r="D55" s="479"/>
      <c r="E55" s="341"/>
      <c r="F55" s="341"/>
      <c r="G55" s="341"/>
      <c r="H55" s="271">
        <f>SUM(H49:J54)*39.8%</f>
        <v>10.234980650903806</v>
      </c>
      <c r="I55" s="271"/>
      <c r="J55" s="271"/>
      <c r="K55" s="23"/>
    </row>
    <row r="56" spans="1:11" ht="15.75" thickBot="1" x14ac:dyDescent="0.3">
      <c r="A56" s="656" t="s">
        <v>36</v>
      </c>
      <c r="B56" s="656"/>
      <c r="C56" s="656"/>
      <c r="D56" s="656"/>
      <c r="E56" s="657"/>
      <c r="F56" s="658"/>
      <c r="G56" s="659"/>
      <c r="H56" s="660">
        <f>SUM(H49:J55)</f>
        <v>35.951012437094278</v>
      </c>
      <c r="I56" s="660"/>
      <c r="J56" s="660"/>
      <c r="K56" s="23"/>
    </row>
    <row r="57" spans="1:11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23"/>
    </row>
    <row r="58" spans="1:11" ht="34.5" customHeight="1" x14ac:dyDescent="0.25">
      <c r="A58" s="314" t="s">
        <v>2</v>
      </c>
      <c r="B58" s="315"/>
      <c r="C58" s="344" t="s">
        <v>64</v>
      </c>
      <c r="D58" s="345"/>
      <c r="E58" s="46"/>
      <c r="F58" s="48"/>
      <c r="G58" s="47"/>
      <c r="H58" s="316">
        <f>((((E12+(E12/3))*0.3333)/12)*2%)</f>
        <v>1.6036943328350475</v>
      </c>
      <c r="I58" s="317"/>
      <c r="J58" s="315"/>
      <c r="K58" s="23"/>
    </row>
    <row r="59" spans="1:11" ht="31.5" customHeight="1" x14ac:dyDescent="0.25">
      <c r="A59" s="314" t="s">
        <v>7</v>
      </c>
      <c r="B59" s="315"/>
      <c r="C59" s="344" t="s">
        <v>65</v>
      </c>
      <c r="D59" s="345"/>
      <c r="E59" s="46"/>
      <c r="F59" s="48"/>
      <c r="G59" s="47"/>
      <c r="H59" s="316">
        <f>H58*39.8%</f>
        <v>0.63827034446834885</v>
      </c>
      <c r="I59" s="317"/>
      <c r="J59" s="315"/>
      <c r="K59" s="23"/>
    </row>
    <row r="60" spans="1:11" ht="42" customHeight="1" x14ac:dyDescent="0.25">
      <c r="A60" s="318" t="s">
        <v>8</v>
      </c>
      <c r="B60" s="319"/>
      <c r="C60" s="344" t="s">
        <v>66</v>
      </c>
      <c r="D60" s="345"/>
      <c r="E60" s="322"/>
      <c r="F60" s="323"/>
      <c r="G60" s="324"/>
      <c r="H60" s="271">
        <f>(((E12+H17)*0.333)*2%)*39.8%</f>
        <v>6.2173431674023387</v>
      </c>
      <c r="I60" s="271"/>
      <c r="J60" s="271"/>
      <c r="K60" s="23"/>
    </row>
    <row r="61" spans="1:11" x14ac:dyDescent="0.25">
      <c r="A61" s="232" t="s">
        <v>9</v>
      </c>
      <c r="B61" s="232"/>
      <c r="C61" s="265" t="s">
        <v>67</v>
      </c>
      <c r="D61" s="267"/>
      <c r="E61" s="341"/>
      <c r="F61" s="341"/>
      <c r="G61" s="341"/>
      <c r="H61" s="271"/>
      <c r="I61" s="271"/>
      <c r="J61" s="271"/>
      <c r="K61" s="23"/>
    </row>
    <row r="62" spans="1:11" ht="15.75" thickBot="1" x14ac:dyDescent="0.3">
      <c r="A62" s="656" t="s">
        <v>36</v>
      </c>
      <c r="B62" s="656"/>
      <c r="C62" s="656"/>
      <c r="D62" s="656"/>
      <c r="E62" s="657"/>
      <c r="F62" s="658"/>
      <c r="G62" s="659"/>
      <c r="H62" s="660">
        <f>SUM(H58:J61)</f>
        <v>8.4593078447057355</v>
      </c>
      <c r="I62" s="660"/>
      <c r="J62" s="660"/>
      <c r="K62" s="23"/>
    </row>
    <row r="63" spans="1:11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23"/>
    </row>
    <row r="64" spans="1:11" ht="28.5" customHeight="1" x14ac:dyDescent="0.25">
      <c r="A64" s="314" t="s">
        <v>2</v>
      </c>
      <c r="B64" s="315"/>
      <c r="C64" s="454" t="s">
        <v>69</v>
      </c>
      <c r="D64" s="455"/>
      <c r="E64" s="46"/>
      <c r="F64" s="48"/>
      <c r="G64" s="47"/>
      <c r="H64" s="316">
        <f>((((E18+(E18/3))*0.3333)/12)*2%)</f>
        <v>8.9620666666666654E-5</v>
      </c>
      <c r="I64" s="317"/>
      <c r="J64" s="315"/>
      <c r="K64" s="23"/>
    </row>
    <row r="65" spans="1:11" ht="29.25" customHeight="1" x14ac:dyDescent="0.25">
      <c r="A65" s="314" t="s">
        <v>7</v>
      </c>
      <c r="B65" s="315"/>
      <c r="C65" s="454" t="s">
        <v>70</v>
      </c>
      <c r="D65" s="455"/>
      <c r="E65" s="46"/>
      <c r="F65" s="48"/>
      <c r="G65" s="47"/>
      <c r="H65" s="316">
        <f>H64*39.8%</f>
        <v>3.5669025333333325E-5</v>
      </c>
      <c r="I65" s="317"/>
      <c r="J65" s="315"/>
      <c r="K65" s="23"/>
    </row>
    <row r="66" spans="1:11" ht="15.75" thickBot="1" x14ac:dyDescent="0.3">
      <c r="A66" s="651" t="s">
        <v>36</v>
      </c>
      <c r="B66" s="651"/>
      <c r="C66" s="651"/>
      <c r="D66" s="651"/>
      <c r="E66" s="652"/>
      <c r="F66" s="653"/>
      <c r="G66" s="654"/>
      <c r="H66" s="655">
        <f>SUM(H64:J65)</f>
        <v>1.2528969199999997E-4</v>
      </c>
      <c r="I66" s="655"/>
      <c r="J66" s="655"/>
      <c r="K66" s="23"/>
    </row>
    <row r="67" spans="1:11" ht="15.75" thickBot="1" x14ac:dyDescent="0.3">
      <c r="A67" s="645" t="s">
        <v>71</v>
      </c>
      <c r="B67" s="646"/>
      <c r="C67" s="646"/>
      <c r="D67" s="647"/>
      <c r="E67" s="648">
        <f>H66+H62+H56</f>
        <v>44.410445571492012</v>
      </c>
      <c r="F67" s="649"/>
      <c r="G67" s="649"/>
      <c r="H67" s="649"/>
      <c r="I67" s="649"/>
      <c r="J67" s="650"/>
      <c r="K67" s="23"/>
    </row>
    <row r="68" spans="1:11" ht="12" customHeight="1" thickBo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</row>
    <row r="69" spans="1:11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23"/>
    </row>
    <row r="70" spans="1:11" x14ac:dyDescent="0.25">
      <c r="A70" s="314" t="s">
        <v>2</v>
      </c>
      <c r="B70" s="315"/>
      <c r="C70" s="314" t="s">
        <v>74</v>
      </c>
      <c r="D70" s="315"/>
      <c r="E70" s="314"/>
      <c r="F70" s="317"/>
      <c r="G70" s="315"/>
      <c r="H70" s="316">
        <v>350</v>
      </c>
      <c r="I70" s="317"/>
      <c r="J70" s="315"/>
      <c r="K70" s="23"/>
    </row>
    <row r="71" spans="1:11" x14ac:dyDescent="0.25">
      <c r="A71" s="314" t="s">
        <v>7</v>
      </c>
      <c r="B71" s="315"/>
      <c r="C71" s="314" t="s">
        <v>75</v>
      </c>
      <c r="D71" s="315"/>
      <c r="E71" s="46"/>
      <c r="F71" s="48"/>
      <c r="G71" s="47"/>
      <c r="H71" s="316">
        <v>5.56</v>
      </c>
      <c r="I71" s="317"/>
      <c r="J71" s="315"/>
      <c r="K71" s="23"/>
    </row>
    <row r="72" spans="1:11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271">
        <v>42.75</v>
      </c>
      <c r="I72" s="271"/>
      <c r="J72" s="271"/>
      <c r="K72" s="23"/>
    </row>
    <row r="73" spans="1:11" ht="15.75" thickBot="1" x14ac:dyDescent="0.3">
      <c r="A73" s="633" t="s">
        <v>9</v>
      </c>
      <c r="B73" s="633"/>
      <c r="C73" s="634" t="s">
        <v>28</v>
      </c>
      <c r="D73" s="635"/>
      <c r="E73" s="636"/>
      <c r="F73" s="636"/>
      <c r="G73" s="636"/>
      <c r="H73" s="637">
        <f>E31/30/12*15*8%</f>
        <v>0</v>
      </c>
      <c r="I73" s="637"/>
      <c r="J73" s="637"/>
      <c r="K73" s="23"/>
    </row>
    <row r="74" spans="1:11" ht="15.75" thickBot="1" x14ac:dyDescent="0.3">
      <c r="A74" s="638" t="s">
        <v>336</v>
      </c>
      <c r="B74" s="639"/>
      <c r="C74" s="639"/>
      <c r="D74" s="639"/>
      <c r="E74" s="639"/>
      <c r="F74" s="639"/>
      <c r="G74" s="640"/>
      <c r="H74" s="641">
        <f>SUM(H70:J73)</f>
        <v>398.31</v>
      </c>
      <c r="I74" s="642"/>
      <c r="J74" s="643"/>
      <c r="K74" s="23"/>
    </row>
    <row r="75" spans="1:11" ht="9" customHeight="1" thickBot="1" x14ac:dyDescent="0.3">
      <c r="E75" s="17"/>
      <c r="F75" s="17"/>
      <c r="G75" s="17"/>
      <c r="K75" s="23"/>
    </row>
    <row r="76" spans="1:11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23"/>
    </row>
    <row r="77" spans="1:11" x14ac:dyDescent="0.25">
      <c r="A77" s="314" t="s">
        <v>2</v>
      </c>
      <c r="B77" s="315"/>
      <c r="C77" s="314" t="s">
        <v>77</v>
      </c>
      <c r="D77" s="315"/>
      <c r="E77" s="644">
        <v>7.0000000000000007E-2</v>
      </c>
      <c r="F77" s="317"/>
      <c r="G77" s="315"/>
      <c r="H77" s="316">
        <f>(H74+E67+H46+E37+E12)*E77</f>
        <v>322.60254479335163</v>
      </c>
      <c r="I77" s="317"/>
      <c r="J77" s="315"/>
      <c r="K77" s="23"/>
    </row>
    <row r="78" spans="1:11" x14ac:dyDescent="0.25">
      <c r="A78" s="314" t="s">
        <v>7</v>
      </c>
      <c r="B78" s="315"/>
      <c r="C78" s="314" t="s">
        <v>12</v>
      </c>
      <c r="D78" s="315"/>
      <c r="E78" s="644">
        <v>7.5775276633744088E-2</v>
      </c>
      <c r="F78" s="317"/>
      <c r="G78" s="315"/>
      <c r="H78" s="316">
        <f>E78*(H74+E67+H46+E37+E12)</f>
        <v>349.21852963522906</v>
      </c>
      <c r="I78" s="317"/>
      <c r="J78" s="315"/>
      <c r="K78" s="23"/>
    </row>
    <row r="79" spans="1:11" ht="15" customHeight="1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271">
        <f>(H74+E67+H46+E37+E12)/E79</f>
        <v>5374.4697175068986</v>
      </c>
      <c r="I79" s="271"/>
      <c r="J79" s="271"/>
      <c r="K79" s="23"/>
    </row>
    <row r="80" spans="1:11" ht="15" customHeight="1" x14ac:dyDescent="0.25">
      <c r="A80" s="232" t="s">
        <v>9</v>
      </c>
      <c r="B80" s="232"/>
      <c r="C80" s="265" t="s">
        <v>79</v>
      </c>
      <c r="D80" s="267"/>
      <c r="E80" s="341">
        <v>1.6500000000000001E-2</v>
      </c>
      <c r="F80" s="341"/>
      <c r="G80" s="341"/>
      <c r="H80" s="271">
        <f>E80*J88</f>
        <v>53.111850000000004</v>
      </c>
      <c r="I80" s="271"/>
      <c r="J80" s="271"/>
      <c r="K80" s="23"/>
    </row>
    <row r="81" spans="1:11" ht="15" customHeight="1" x14ac:dyDescent="0.25">
      <c r="A81" s="232" t="s">
        <v>9</v>
      </c>
      <c r="B81" s="232"/>
      <c r="C81" s="265" t="s">
        <v>80</v>
      </c>
      <c r="D81" s="267"/>
      <c r="E81" s="341">
        <v>7.5999999999999998E-2</v>
      </c>
      <c r="F81" s="341"/>
      <c r="G81" s="341"/>
      <c r="H81" s="271">
        <f>E81*J88</f>
        <v>244.63640000000001</v>
      </c>
      <c r="I81" s="271"/>
      <c r="J81" s="271"/>
      <c r="K81" s="23"/>
    </row>
    <row r="82" spans="1:11" x14ac:dyDescent="0.25">
      <c r="A82" s="232" t="s">
        <v>10</v>
      </c>
      <c r="B82" s="232"/>
      <c r="C82" s="265" t="s">
        <v>81</v>
      </c>
      <c r="D82" s="267"/>
      <c r="E82" s="341"/>
      <c r="F82" s="341"/>
      <c r="G82" s="341"/>
      <c r="H82" s="271"/>
      <c r="I82" s="271"/>
      <c r="J82" s="271"/>
      <c r="K82" s="23"/>
    </row>
    <row r="83" spans="1:11" ht="15.75" thickBot="1" x14ac:dyDescent="0.3">
      <c r="A83" s="633" t="s">
        <v>11</v>
      </c>
      <c r="B83" s="633"/>
      <c r="C83" s="634" t="s">
        <v>110</v>
      </c>
      <c r="D83" s="635"/>
      <c r="E83" s="636">
        <v>0.05</v>
      </c>
      <c r="F83" s="636"/>
      <c r="G83" s="636"/>
      <c r="H83" s="637">
        <f>E83*J88</f>
        <v>160.94500000000002</v>
      </c>
      <c r="I83" s="637"/>
      <c r="J83" s="637"/>
      <c r="K83" s="23"/>
    </row>
    <row r="84" spans="1:11" ht="15" customHeight="1" thickBot="1" x14ac:dyDescent="0.3">
      <c r="A84" s="638" t="s">
        <v>340</v>
      </c>
      <c r="B84" s="639"/>
      <c r="C84" s="639"/>
      <c r="D84" s="639"/>
      <c r="E84" s="639"/>
      <c r="F84" s="639"/>
      <c r="G84" s="640"/>
      <c r="H84" s="641">
        <f>H77+H78+H80+H81+H83</f>
        <v>1130.5143244285807</v>
      </c>
      <c r="I84" s="642"/>
      <c r="J84" s="643"/>
      <c r="K84" s="23"/>
    </row>
    <row r="85" spans="1:11" ht="12" customHeight="1" thickBot="1" x14ac:dyDescent="0.3">
      <c r="E85" s="17"/>
      <c r="F85" s="17"/>
      <c r="G85" s="17"/>
      <c r="K85" s="23"/>
    </row>
    <row r="86" spans="1:11" ht="15" customHeight="1" thickBot="1" x14ac:dyDescent="0.3">
      <c r="A86" s="627" t="s">
        <v>85</v>
      </c>
      <c r="B86" s="628"/>
      <c r="C86" s="628"/>
      <c r="D86" s="628"/>
      <c r="E86" s="628"/>
      <c r="F86" s="628"/>
      <c r="G86" s="629"/>
      <c r="H86" s="630">
        <f>SUM(H84+H74+E67+H46+E37+E12)</f>
        <v>5739.1221071907466</v>
      </c>
      <c r="I86" s="631"/>
      <c r="J86" s="632"/>
    </row>
    <row r="88" spans="1:11" x14ac:dyDescent="0.25">
      <c r="J88" s="39">
        <v>3218.9</v>
      </c>
    </row>
    <row r="89" spans="1:11" ht="15.75" thickBot="1" x14ac:dyDescent="0.3">
      <c r="D89" s="38"/>
    </row>
  </sheetData>
  <mergeCells count="230"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  <mergeCell ref="A12:D12"/>
    <mergeCell ref="E12:J12"/>
    <mergeCell ref="A13:D13"/>
    <mergeCell ref="E13:J13"/>
    <mergeCell ref="A14:J14"/>
    <mergeCell ref="A15:J15"/>
    <mergeCell ref="B9:D9"/>
    <mergeCell ref="E9:J9"/>
    <mergeCell ref="B10:D10"/>
    <mergeCell ref="E10:J10"/>
    <mergeCell ref="B11:D11"/>
    <mergeCell ref="E11:J11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79995117038483843"/>
  </sheetPr>
  <dimension ref="A1:K90"/>
  <sheetViews>
    <sheetView view="pageBreakPreview" topLeftCell="A38" zoomScaleNormal="100" zoomScaleSheetLayoutView="100" workbookViewId="0">
      <selection activeCell="P51" sqref="P51"/>
    </sheetView>
  </sheetViews>
  <sheetFormatPr defaultRowHeight="15" x14ac:dyDescent="0.25"/>
  <cols>
    <col min="1" max="1" width="7.42578125" style="134" bestFit="1" customWidth="1"/>
    <col min="2" max="2" width="2" style="134" bestFit="1" customWidth="1"/>
    <col min="3" max="3" width="15.5703125" style="134" customWidth="1"/>
    <col min="4" max="4" width="35.7109375" style="134" customWidth="1"/>
    <col min="5" max="6" width="3.7109375" style="134" customWidth="1"/>
    <col min="7" max="7" width="2.140625" style="134" customWidth="1"/>
    <col min="8" max="8" width="2.7109375" style="134" customWidth="1"/>
    <col min="9" max="9" width="5" style="134" customWidth="1"/>
    <col min="10" max="10" width="5.85546875" style="134" customWidth="1"/>
    <col min="11" max="16384" width="9.140625" style="134"/>
  </cols>
  <sheetData>
    <row r="1" spans="1:11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1" ht="22.5" customHeight="1" thickBot="1" x14ac:dyDescent="0.3">
      <c r="A2" s="554" t="s">
        <v>0</v>
      </c>
      <c r="B2" s="555"/>
      <c r="C2" s="556"/>
      <c r="D2" s="557" t="s">
        <v>341</v>
      </c>
      <c r="E2" s="558"/>
      <c r="F2" s="558"/>
      <c r="G2" s="558"/>
      <c r="H2" s="558"/>
      <c r="I2" s="558"/>
      <c r="J2" s="559"/>
      <c r="K2" s="136"/>
    </row>
    <row r="3" spans="1:11" ht="11.25" customHeight="1" thickBot="1" x14ac:dyDescent="0.3">
      <c r="A3" s="481"/>
      <c r="B3" s="481"/>
      <c r="C3" s="481"/>
      <c r="D3" s="481"/>
      <c r="E3" s="481"/>
      <c r="F3" s="481"/>
      <c r="G3" s="481"/>
      <c r="H3" s="481"/>
      <c r="I3" s="481"/>
      <c r="J3" s="481"/>
      <c r="K3" s="136"/>
    </row>
    <row r="4" spans="1:11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1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1" x14ac:dyDescent="0.25">
      <c r="A6" s="21" t="s">
        <v>2</v>
      </c>
      <c r="B6" s="606" t="s">
        <v>1</v>
      </c>
      <c r="C6" s="607"/>
      <c r="D6" s="608"/>
      <c r="E6" s="717">
        <v>1086.46</v>
      </c>
      <c r="F6" s="481"/>
      <c r="G6" s="481"/>
      <c r="H6" s="481"/>
      <c r="I6" s="481"/>
      <c r="J6" s="481"/>
      <c r="K6" s="136"/>
    </row>
    <row r="7" spans="1:11" x14ac:dyDescent="0.25">
      <c r="A7" s="21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36"/>
    </row>
    <row r="8" spans="1:11" x14ac:dyDescent="0.25">
      <c r="A8" s="21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36"/>
    </row>
    <row r="9" spans="1:11" x14ac:dyDescent="0.25">
      <c r="A9" s="21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36"/>
    </row>
    <row r="10" spans="1:11" x14ac:dyDescent="0.25">
      <c r="A10" s="21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36"/>
    </row>
    <row r="11" spans="1:11" ht="27.75" customHeight="1" thickBot="1" x14ac:dyDescent="0.3">
      <c r="A11" s="120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36"/>
    </row>
    <row r="12" spans="1:11" ht="15.75" thickBot="1" x14ac:dyDescent="0.3">
      <c r="A12" s="458" t="s">
        <v>330</v>
      </c>
      <c r="B12" s="459"/>
      <c r="C12" s="459"/>
      <c r="D12" s="460"/>
      <c r="E12" s="547">
        <f>SUM(E6:J11)</f>
        <v>1086.46</v>
      </c>
      <c r="F12" s="485"/>
      <c r="G12" s="485"/>
      <c r="H12" s="485"/>
      <c r="I12" s="485"/>
      <c r="J12" s="486"/>
      <c r="K12" s="136"/>
    </row>
    <row r="13" spans="1:11" ht="28.5" customHeight="1" x14ac:dyDescent="0.25">
      <c r="A13" s="551" t="s">
        <v>29</v>
      </c>
      <c r="B13" s="715"/>
      <c r="C13" s="715"/>
      <c r="D13" s="716"/>
      <c r="E13" s="548">
        <f>E12*E30</f>
        <v>399.81728000000004</v>
      </c>
      <c r="F13" s="549"/>
      <c r="G13" s="549"/>
      <c r="H13" s="549"/>
      <c r="I13" s="549"/>
      <c r="J13" s="550"/>
      <c r="K13" s="136"/>
    </row>
    <row r="14" spans="1:11" ht="9" customHeight="1" thickBot="1" x14ac:dyDescent="0.3">
      <c r="A14" s="481"/>
      <c r="B14" s="481"/>
      <c r="C14" s="481"/>
      <c r="D14" s="481"/>
      <c r="E14" s="481"/>
      <c r="F14" s="481"/>
      <c r="G14" s="481"/>
      <c r="H14" s="481"/>
      <c r="I14" s="481"/>
      <c r="J14" s="481"/>
      <c r="K14" s="136"/>
    </row>
    <row r="15" spans="1:11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1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ht="12.75" customHeight="1" x14ac:dyDescent="0.25">
      <c r="A17" s="21" t="s">
        <v>2</v>
      </c>
      <c r="B17" s="482" t="s">
        <v>34</v>
      </c>
      <c r="C17" s="521"/>
      <c r="D17" s="483"/>
      <c r="E17" s="619">
        <v>8.3299999999999999E-2</v>
      </c>
      <c r="F17" s="620"/>
      <c r="G17" s="621"/>
      <c r="H17" s="450">
        <f>E17*E12</f>
        <v>90.502117999999996</v>
      </c>
      <c r="I17" s="450"/>
      <c r="J17" s="450"/>
      <c r="K17" s="136"/>
    </row>
    <row r="18" spans="1:11" x14ac:dyDescent="0.25">
      <c r="A18" s="21" t="s">
        <v>7</v>
      </c>
      <c r="B18" s="482" t="s">
        <v>35</v>
      </c>
      <c r="C18" s="521"/>
      <c r="D18" s="483"/>
      <c r="E18" s="287">
        <v>0.121</v>
      </c>
      <c r="F18" s="288"/>
      <c r="G18" s="289"/>
      <c r="H18" s="450">
        <f>E18*E12</f>
        <v>131.46165999999999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221.96377799999999</v>
      </c>
      <c r="I19" s="525"/>
      <c r="J19" s="525"/>
      <c r="K19" s="136"/>
    </row>
    <row r="20" spans="1:11" ht="28.5" customHeight="1" thickBot="1" x14ac:dyDescent="0.3">
      <c r="A20" s="21" t="s">
        <v>8</v>
      </c>
      <c r="B20" s="284" t="s">
        <v>37</v>
      </c>
      <c r="C20" s="285"/>
      <c r="D20" s="286"/>
      <c r="E20" s="287">
        <v>7.8200000000000006E-2</v>
      </c>
      <c r="F20" s="288"/>
      <c r="G20" s="289"/>
      <c r="H20" s="290">
        <f>E12*E20</f>
        <v>84.961172000000005</v>
      </c>
      <c r="I20" s="291"/>
      <c r="J20" s="292"/>
      <c r="K20" s="136"/>
    </row>
    <row r="21" spans="1:11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261.68475560000002</v>
      </c>
      <c r="I22" s="450"/>
      <c r="J22" s="450"/>
      <c r="K22" s="136"/>
    </row>
    <row r="23" spans="1:11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32.710594450000002</v>
      </c>
      <c r="I23" s="450"/>
      <c r="J23" s="450"/>
      <c r="K23" s="136"/>
    </row>
    <row r="24" spans="1:11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39.25271334</v>
      </c>
      <c r="I24" s="450"/>
      <c r="J24" s="450"/>
      <c r="K24" s="136"/>
    </row>
    <row r="25" spans="1:11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19.62635667</v>
      </c>
      <c r="I25" s="450"/>
      <c r="J25" s="450"/>
      <c r="K25" s="136"/>
    </row>
    <row r="26" spans="1:11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13.08423778</v>
      </c>
      <c r="I26" s="450"/>
      <c r="J26" s="450"/>
      <c r="K26" s="136"/>
    </row>
    <row r="27" spans="1:11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7.850542668000001</v>
      </c>
      <c r="I27" s="450"/>
      <c r="J27" s="450"/>
      <c r="K27" s="136"/>
    </row>
    <row r="28" spans="1:11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2.6168475560000002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104.67390224</v>
      </c>
      <c r="I29" s="450"/>
      <c r="J29" s="450"/>
      <c r="K29" s="136"/>
    </row>
    <row r="30" spans="1:11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481.49995030400009</v>
      </c>
      <c r="I30" s="592"/>
      <c r="J30" s="592"/>
      <c r="K30" s="136"/>
    </row>
    <row r="31" spans="1:11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1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(3.9*2*25.5)-6%*E6</f>
        <v>133.7124</v>
      </c>
      <c r="I32" s="450"/>
      <c r="J32" s="450"/>
      <c r="K32" s="136"/>
    </row>
    <row r="33" spans="1:11" x14ac:dyDescent="0.25">
      <c r="A33" s="482" t="s">
        <v>7</v>
      </c>
      <c r="B33" s="483"/>
      <c r="C33" s="482" t="s">
        <v>150</v>
      </c>
      <c r="D33" s="483"/>
      <c r="E33" s="497"/>
      <c r="F33" s="497"/>
      <c r="G33" s="497"/>
      <c r="H33" s="450">
        <f>156.45-(156.45*0.5%)</f>
        <v>155.66774999999998</v>
      </c>
      <c r="I33" s="450"/>
      <c r="J33" s="450"/>
      <c r="K33" s="136"/>
    </row>
    <row r="34" spans="1:11" x14ac:dyDescent="0.25">
      <c r="A34" s="482"/>
      <c r="B34" s="483"/>
      <c r="C34" s="482" t="s">
        <v>151</v>
      </c>
      <c r="D34" s="483"/>
      <c r="E34" s="287"/>
      <c r="F34" s="288"/>
      <c r="G34" s="289"/>
      <c r="H34" s="290">
        <f>(12.5*25.5)-20%</f>
        <v>318.55</v>
      </c>
      <c r="I34" s="291"/>
      <c r="J34" s="292"/>
      <c r="K34" s="136"/>
    </row>
    <row r="35" spans="1:11" x14ac:dyDescent="0.25">
      <c r="A35" s="482" t="s">
        <v>8</v>
      </c>
      <c r="B35" s="483"/>
      <c r="C35" s="284" t="s">
        <v>49</v>
      </c>
      <c r="D35" s="286"/>
      <c r="E35" s="497"/>
      <c r="F35" s="497"/>
      <c r="G35" s="497"/>
      <c r="H35" s="450">
        <v>105.05</v>
      </c>
      <c r="I35" s="450"/>
      <c r="J35" s="450"/>
      <c r="K35" s="136"/>
    </row>
    <row r="36" spans="1:11" x14ac:dyDescent="0.25">
      <c r="A36" s="482" t="s">
        <v>9</v>
      </c>
      <c r="B36" s="483"/>
      <c r="C36" s="478" t="s">
        <v>28</v>
      </c>
      <c r="D36" s="479"/>
      <c r="E36" s="497"/>
      <c r="F36" s="497"/>
      <c r="G36" s="497"/>
      <c r="H36" s="450">
        <v>108.9</v>
      </c>
      <c r="I36" s="450"/>
      <c r="J36" s="450"/>
      <c r="K36" s="136"/>
    </row>
    <row r="37" spans="1:11" ht="15.75" thickBot="1" x14ac:dyDescent="0.3">
      <c r="A37" s="504" t="s">
        <v>38</v>
      </c>
      <c r="B37" s="505"/>
      <c r="C37" s="505"/>
      <c r="D37" s="505"/>
      <c r="E37" s="505"/>
      <c r="F37" s="505"/>
      <c r="G37" s="506"/>
      <c r="H37" s="451">
        <f>SUM(H32:J36)</f>
        <v>821.88014999999984</v>
      </c>
      <c r="I37" s="451"/>
      <c r="J37" s="451"/>
      <c r="K37" s="136"/>
    </row>
    <row r="38" spans="1:11" ht="15.75" thickBot="1" x14ac:dyDescent="0.3">
      <c r="A38" s="458" t="s">
        <v>72</v>
      </c>
      <c r="B38" s="459"/>
      <c r="C38" s="459"/>
      <c r="D38" s="460"/>
      <c r="E38" s="587">
        <f>H19+H30+H37</f>
        <v>1525.3438783040001</v>
      </c>
      <c r="F38" s="498"/>
      <c r="G38" s="498"/>
      <c r="H38" s="498"/>
      <c r="I38" s="498"/>
      <c r="J38" s="499"/>
      <c r="K38" s="136"/>
    </row>
    <row r="39" spans="1:11" ht="9" customHeight="1" thickBot="1" x14ac:dyDescent="0.3">
      <c r="A39" s="602"/>
      <c r="B39" s="602"/>
      <c r="C39" s="602"/>
      <c r="D39" s="602"/>
      <c r="E39" s="602"/>
      <c r="F39" s="602"/>
      <c r="G39" s="602"/>
      <c r="H39" s="602"/>
      <c r="I39" s="602"/>
      <c r="J39" s="602"/>
      <c r="K39" s="136"/>
    </row>
    <row r="40" spans="1:11" ht="27" customHeight="1" thickBot="1" x14ac:dyDescent="0.3">
      <c r="A40" s="494" t="s">
        <v>129</v>
      </c>
      <c r="B40" s="495"/>
      <c r="C40" s="495"/>
      <c r="D40" s="495"/>
      <c r="E40" s="495"/>
      <c r="F40" s="495"/>
      <c r="G40" s="495"/>
      <c r="H40" s="495"/>
      <c r="I40" s="495"/>
      <c r="J40" s="496"/>
      <c r="K40" s="136"/>
    </row>
    <row r="41" spans="1:11" x14ac:dyDescent="0.25">
      <c r="A41" s="452" t="s">
        <v>2</v>
      </c>
      <c r="B41" s="453"/>
      <c r="C41" s="452" t="s">
        <v>51</v>
      </c>
      <c r="D41" s="453"/>
      <c r="E41" s="157"/>
      <c r="F41" s="158"/>
      <c r="G41" s="159"/>
      <c r="H41" s="456">
        <f>E12/12*5%</f>
        <v>4.5269166666666676</v>
      </c>
      <c r="I41" s="457"/>
      <c r="J41" s="453"/>
      <c r="K41" s="136"/>
    </row>
    <row r="42" spans="1:11" x14ac:dyDescent="0.25">
      <c r="A42" s="452" t="s">
        <v>7</v>
      </c>
      <c r="B42" s="453"/>
      <c r="C42" s="452" t="s">
        <v>52</v>
      </c>
      <c r="D42" s="453"/>
      <c r="E42" s="157"/>
      <c r="F42" s="158"/>
      <c r="G42" s="159"/>
      <c r="H42" s="456">
        <f>H41*8%</f>
        <v>0.36215333333333344</v>
      </c>
      <c r="I42" s="457"/>
      <c r="J42" s="453"/>
      <c r="K42" s="136"/>
    </row>
    <row r="43" spans="1:11" ht="26.25" customHeight="1" x14ac:dyDescent="0.25">
      <c r="A43" s="318" t="s">
        <v>8</v>
      </c>
      <c r="B43" s="319"/>
      <c r="C43" s="320" t="s">
        <v>53</v>
      </c>
      <c r="D43" s="321"/>
      <c r="E43" s="322"/>
      <c r="F43" s="323"/>
      <c r="G43" s="324"/>
      <c r="H43" s="450">
        <f>E43*E12</f>
        <v>0</v>
      </c>
      <c r="I43" s="450"/>
      <c r="J43" s="450"/>
      <c r="K43" s="136"/>
    </row>
    <row r="44" spans="1:11" x14ac:dyDescent="0.25">
      <c r="A44" s="481" t="s">
        <v>9</v>
      </c>
      <c r="B44" s="481"/>
      <c r="C44" s="482" t="s">
        <v>54</v>
      </c>
      <c r="D44" s="483"/>
      <c r="E44" s="480"/>
      <c r="F44" s="480"/>
      <c r="G44" s="480"/>
      <c r="H44" s="450">
        <f>E12/30/12*7*100%</f>
        <v>21.125611111111109</v>
      </c>
      <c r="I44" s="450"/>
      <c r="J44" s="450"/>
      <c r="K44" s="136"/>
    </row>
    <row r="45" spans="1:11" ht="28.5" customHeight="1" x14ac:dyDescent="0.25">
      <c r="A45" s="481" t="s">
        <v>10</v>
      </c>
      <c r="B45" s="481"/>
      <c r="C45" s="478" t="s">
        <v>93</v>
      </c>
      <c r="D45" s="479"/>
      <c r="E45" s="480"/>
      <c r="F45" s="480"/>
      <c r="G45" s="480"/>
      <c r="H45" s="450">
        <f>H44*39.8%</f>
        <v>8.4079932222222205</v>
      </c>
      <c r="I45" s="450"/>
      <c r="J45" s="450"/>
      <c r="K45" s="136"/>
    </row>
    <row r="46" spans="1:11" ht="30" customHeight="1" thickBot="1" x14ac:dyDescent="0.3">
      <c r="A46" s="473" t="s">
        <v>11</v>
      </c>
      <c r="B46" s="474"/>
      <c r="C46" s="475" t="s">
        <v>53</v>
      </c>
      <c r="D46" s="476"/>
      <c r="E46" s="467"/>
      <c r="F46" s="468"/>
      <c r="G46" s="469"/>
      <c r="H46" s="470">
        <f>E12*5%</f>
        <v>54.323000000000008</v>
      </c>
      <c r="I46" s="471"/>
      <c r="J46" s="472"/>
      <c r="K46" s="136"/>
    </row>
    <row r="47" spans="1:11" ht="15.75" thickBot="1" x14ac:dyDescent="0.3">
      <c r="A47" s="570" t="s">
        <v>333</v>
      </c>
      <c r="B47" s="571"/>
      <c r="C47" s="571"/>
      <c r="D47" s="571"/>
      <c r="E47" s="571"/>
      <c r="F47" s="571"/>
      <c r="G47" s="572"/>
      <c r="H47" s="547">
        <f>SUM(H41:J46)</f>
        <v>88.745674333333341</v>
      </c>
      <c r="I47" s="485"/>
      <c r="J47" s="486"/>
      <c r="K47" s="136"/>
    </row>
    <row r="48" spans="1:11" ht="9" customHeight="1" thickBot="1" x14ac:dyDescent="0.3">
      <c r="E48" s="160"/>
      <c r="F48" s="160"/>
      <c r="G48" s="160"/>
      <c r="H48" s="161"/>
      <c r="I48" s="161"/>
      <c r="J48" s="161"/>
      <c r="K48" s="136"/>
    </row>
    <row r="49" spans="1:11" ht="33" customHeight="1" thickBot="1" x14ac:dyDescent="0.3">
      <c r="A49" s="494" t="s">
        <v>388</v>
      </c>
      <c r="B49" s="495"/>
      <c r="C49" s="495"/>
      <c r="D49" s="495"/>
      <c r="E49" s="495"/>
      <c r="F49" s="495"/>
      <c r="G49" s="495"/>
      <c r="H49" s="495"/>
      <c r="I49" s="495"/>
      <c r="J49" s="496"/>
      <c r="K49" s="136"/>
    </row>
    <row r="50" spans="1:11" x14ac:dyDescent="0.25">
      <c r="A50" s="452" t="s">
        <v>2</v>
      </c>
      <c r="B50" s="453"/>
      <c r="C50" s="452" t="s">
        <v>56</v>
      </c>
      <c r="D50" s="453"/>
      <c r="E50" s="157"/>
      <c r="F50" s="158"/>
      <c r="G50" s="159"/>
      <c r="H50" s="456">
        <f>E20/12*5%</f>
        <v>3.2583333333333336E-4</v>
      </c>
      <c r="I50" s="457"/>
      <c r="J50" s="453"/>
      <c r="K50" s="136"/>
    </row>
    <row r="51" spans="1:11" x14ac:dyDescent="0.25">
      <c r="A51" s="452" t="s">
        <v>7</v>
      </c>
      <c r="B51" s="453"/>
      <c r="C51" s="452" t="s">
        <v>57</v>
      </c>
      <c r="D51" s="453"/>
      <c r="E51" s="157"/>
      <c r="F51" s="158"/>
      <c r="G51" s="159"/>
      <c r="H51" s="456">
        <f>E12/30/12</f>
        <v>3.0179444444444443</v>
      </c>
      <c r="I51" s="457"/>
      <c r="J51" s="453"/>
      <c r="K51" s="136"/>
    </row>
    <row r="52" spans="1:11" x14ac:dyDescent="0.25">
      <c r="A52" s="318" t="s">
        <v>8</v>
      </c>
      <c r="B52" s="319"/>
      <c r="C52" s="320" t="s">
        <v>58</v>
      </c>
      <c r="D52" s="321"/>
      <c r="E52" s="322"/>
      <c r="F52" s="323"/>
      <c r="G52" s="324"/>
      <c r="H52" s="450">
        <f>E12/30/12*5*1.5%</f>
        <v>0.2263458333333333</v>
      </c>
      <c r="I52" s="450"/>
      <c r="J52" s="450"/>
      <c r="K52" s="136"/>
    </row>
    <row r="53" spans="1:11" ht="28.5" customHeight="1" x14ac:dyDescent="0.25">
      <c r="A53" s="481" t="s">
        <v>9</v>
      </c>
      <c r="B53" s="481"/>
      <c r="C53" s="284" t="s">
        <v>59</v>
      </c>
      <c r="D53" s="286"/>
      <c r="E53" s="480"/>
      <c r="F53" s="480"/>
      <c r="G53" s="480"/>
      <c r="H53" s="450">
        <f>E12/30/12*15*8%</f>
        <v>3.6215333333333333</v>
      </c>
      <c r="I53" s="450"/>
      <c r="J53" s="450"/>
      <c r="K53" s="136"/>
    </row>
    <row r="54" spans="1:11" x14ac:dyDescent="0.25">
      <c r="A54" s="481" t="s">
        <v>10</v>
      </c>
      <c r="B54" s="481"/>
      <c r="C54" s="478" t="s">
        <v>60</v>
      </c>
      <c r="D54" s="479"/>
      <c r="E54" s="480"/>
      <c r="F54" s="480"/>
      <c r="G54" s="480"/>
      <c r="H54" s="450">
        <f>E20*5%</f>
        <v>3.9100000000000003E-3</v>
      </c>
      <c r="I54" s="450"/>
      <c r="J54" s="450"/>
      <c r="K54" s="136"/>
    </row>
    <row r="55" spans="1:11" x14ac:dyDescent="0.25">
      <c r="A55" s="481" t="s">
        <v>11</v>
      </c>
      <c r="B55" s="481"/>
      <c r="C55" s="478" t="s">
        <v>61</v>
      </c>
      <c r="D55" s="479"/>
      <c r="E55" s="480"/>
      <c r="F55" s="480"/>
      <c r="G55" s="480"/>
      <c r="H55" s="450">
        <f>E12/30/12*5*40%</f>
        <v>6.0358888888888886</v>
      </c>
      <c r="I55" s="450"/>
      <c r="J55" s="450"/>
      <c r="K55" s="136"/>
    </row>
    <row r="56" spans="1:11" ht="30.75" customHeight="1" x14ac:dyDescent="0.25">
      <c r="A56" s="481" t="s">
        <v>39</v>
      </c>
      <c r="B56" s="481"/>
      <c r="C56" s="478" t="s">
        <v>62</v>
      </c>
      <c r="D56" s="479"/>
      <c r="E56" s="480"/>
      <c r="F56" s="480"/>
      <c r="G56" s="480"/>
      <c r="H56" s="450">
        <f>SUM(H50:J55)*39.8%</f>
        <v>5.1365674366666658</v>
      </c>
      <c r="I56" s="450"/>
      <c r="J56" s="450"/>
      <c r="K56" s="136"/>
    </row>
    <row r="57" spans="1:11" ht="15.75" thickBot="1" x14ac:dyDescent="0.3">
      <c r="A57" s="588" t="s">
        <v>36</v>
      </c>
      <c r="B57" s="588"/>
      <c r="C57" s="588"/>
      <c r="D57" s="588"/>
      <c r="E57" s="589"/>
      <c r="F57" s="590"/>
      <c r="G57" s="591"/>
      <c r="H57" s="592">
        <f>SUM(H50:J56)</f>
        <v>18.042515769999998</v>
      </c>
      <c r="I57" s="592"/>
      <c r="J57" s="592"/>
      <c r="K57" s="136"/>
    </row>
    <row r="58" spans="1:11" ht="15.75" thickBot="1" x14ac:dyDescent="0.3">
      <c r="A58" s="507" t="s">
        <v>127</v>
      </c>
      <c r="B58" s="508"/>
      <c r="C58" s="508"/>
      <c r="D58" s="508"/>
      <c r="E58" s="508"/>
      <c r="F58" s="508"/>
      <c r="G58" s="508"/>
      <c r="H58" s="508"/>
      <c r="I58" s="508"/>
      <c r="J58" s="509"/>
      <c r="K58" s="136"/>
    </row>
    <row r="59" spans="1:11" ht="30.75" customHeight="1" x14ac:dyDescent="0.25">
      <c r="A59" s="452" t="s">
        <v>2</v>
      </c>
      <c r="B59" s="453"/>
      <c r="C59" s="454" t="s">
        <v>64</v>
      </c>
      <c r="D59" s="455"/>
      <c r="E59" s="157"/>
      <c r="F59" s="158"/>
      <c r="G59" s="159"/>
      <c r="H59" s="456">
        <f>((((E12+(E12/3))*0.3333)/12)*2%)</f>
        <v>0.80470470666666671</v>
      </c>
      <c r="I59" s="457"/>
      <c r="J59" s="453"/>
      <c r="K59" s="136"/>
    </row>
    <row r="60" spans="1:11" ht="41.25" customHeight="1" x14ac:dyDescent="0.25">
      <c r="A60" s="452" t="s">
        <v>7</v>
      </c>
      <c r="B60" s="453"/>
      <c r="C60" s="454" t="s">
        <v>65</v>
      </c>
      <c r="D60" s="455"/>
      <c r="E60" s="157"/>
      <c r="F60" s="158"/>
      <c r="G60" s="159"/>
      <c r="H60" s="456">
        <f>H59*39.8%</f>
        <v>0.3202724732533333</v>
      </c>
      <c r="I60" s="457"/>
      <c r="J60" s="453"/>
      <c r="K60" s="136"/>
    </row>
    <row r="61" spans="1:11" ht="43.5" customHeight="1" x14ac:dyDescent="0.25">
      <c r="A61" s="318" t="s">
        <v>8</v>
      </c>
      <c r="B61" s="319"/>
      <c r="C61" s="454" t="s">
        <v>66</v>
      </c>
      <c r="D61" s="455"/>
      <c r="E61" s="322"/>
      <c r="F61" s="323"/>
      <c r="G61" s="324"/>
      <c r="H61" s="450">
        <f>(((E12+H17)*0.333)*2%)*39.8%</f>
        <v>3.1197499469402397</v>
      </c>
      <c r="I61" s="450"/>
      <c r="J61" s="450"/>
      <c r="K61" s="136"/>
    </row>
    <row r="62" spans="1:11" x14ac:dyDescent="0.25">
      <c r="A62" s="481" t="s">
        <v>9</v>
      </c>
      <c r="B62" s="481"/>
      <c r="C62" s="482" t="s">
        <v>67</v>
      </c>
      <c r="D62" s="483"/>
      <c r="E62" s="480"/>
      <c r="F62" s="480"/>
      <c r="G62" s="480"/>
      <c r="H62" s="450"/>
      <c r="I62" s="450"/>
      <c r="J62" s="450"/>
      <c r="K62" s="136"/>
    </row>
    <row r="63" spans="1:11" ht="15.75" thickBot="1" x14ac:dyDescent="0.3">
      <c r="A63" s="588" t="s">
        <v>36</v>
      </c>
      <c r="B63" s="588"/>
      <c r="C63" s="588"/>
      <c r="D63" s="588"/>
      <c r="E63" s="589"/>
      <c r="F63" s="590"/>
      <c r="G63" s="591"/>
      <c r="H63" s="714">
        <f>SUM(H59:J62)</f>
        <v>4.2447271268602398</v>
      </c>
      <c r="I63" s="714"/>
      <c r="J63" s="714"/>
      <c r="K63" s="136"/>
    </row>
    <row r="64" spans="1:11" ht="30" customHeight="1" thickBot="1" x14ac:dyDescent="0.3">
      <c r="A64" s="507" t="s">
        <v>342</v>
      </c>
      <c r="B64" s="508"/>
      <c r="C64" s="508"/>
      <c r="D64" s="508"/>
      <c r="E64" s="508"/>
      <c r="F64" s="508"/>
      <c r="G64" s="508"/>
      <c r="H64" s="508"/>
      <c r="I64" s="508"/>
      <c r="J64" s="509"/>
      <c r="K64" s="136"/>
    </row>
    <row r="65" spans="1:11" ht="27.75" customHeight="1" x14ac:dyDescent="0.25">
      <c r="A65" s="452" t="s">
        <v>2</v>
      </c>
      <c r="B65" s="453"/>
      <c r="C65" s="454" t="s">
        <v>69</v>
      </c>
      <c r="D65" s="455"/>
      <c r="E65" s="157"/>
      <c r="F65" s="158"/>
      <c r="G65" s="159"/>
      <c r="H65" s="456">
        <f>((((E18+(E18/3))*0.3333)/12)*2%)</f>
        <v>8.9620666666666654E-5</v>
      </c>
      <c r="I65" s="457"/>
      <c r="J65" s="453"/>
      <c r="K65" s="136"/>
    </row>
    <row r="66" spans="1:11" ht="28.5" customHeight="1" x14ac:dyDescent="0.25">
      <c r="A66" s="452" t="s">
        <v>7</v>
      </c>
      <c r="B66" s="453"/>
      <c r="C66" s="454" t="s">
        <v>70</v>
      </c>
      <c r="D66" s="455"/>
      <c r="E66" s="157"/>
      <c r="F66" s="158"/>
      <c r="G66" s="159"/>
      <c r="H66" s="456">
        <f>H65*39.8%</f>
        <v>3.5669025333333325E-5</v>
      </c>
      <c r="I66" s="457"/>
      <c r="J66" s="453"/>
      <c r="K66" s="136"/>
    </row>
    <row r="67" spans="1:11" ht="15.75" thickBot="1" x14ac:dyDescent="0.3">
      <c r="A67" s="487" t="s">
        <v>36</v>
      </c>
      <c r="B67" s="487"/>
      <c r="C67" s="487"/>
      <c r="D67" s="487"/>
      <c r="E67" s="491"/>
      <c r="F67" s="492"/>
      <c r="G67" s="493"/>
      <c r="H67" s="451">
        <f>SUM(H65:J66)</f>
        <v>1.2528969199999997E-4</v>
      </c>
      <c r="I67" s="451"/>
      <c r="J67" s="451"/>
      <c r="K67" s="136"/>
    </row>
    <row r="68" spans="1:11" ht="15.75" thickBot="1" x14ac:dyDescent="0.3">
      <c r="A68" s="458" t="s">
        <v>71</v>
      </c>
      <c r="B68" s="459"/>
      <c r="C68" s="459"/>
      <c r="D68" s="460"/>
      <c r="E68" s="587">
        <f>H67+H63+H57</f>
        <v>22.287368186552236</v>
      </c>
      <c r="F68" s="498"/>
      <c r="G68" s="498"/>
      <c r="H68" s="498"/>
      <c r="I68" s="498"/>
      <c r="J68" s="499"/>
      <c r="K68" s="136"/>
    </row>
    <row r="69" spans="1:11" ht="12" customHeight="1" thickBot="1" x14ac:dyDescent="0.3">
      <c r="A69" s="135"/>
      <c r="B69" s="135"/>
      <c r="C69" s="135"/>
      <c r="D69" s="135"/>
      <c r="E69" s="135"/>
      <c r="F69" s="135"/>
      <c r="G69" s="135"/>
      <c r="H69" s="135"/>
      <c r="I69" s="135"/>
      <c r="J69" s="135"/>
      <c r="K69" s="136"/>
    </row>
    <row r="70" spans="1:11" ht="27" customHeight="1" thickBot="1" x14ac:dyDescent="0.3">
      <c r="A70" s="494" t="s">
        <v>73</v>
      </c>
      <c r="B70" s="495"/>
      <c r="C70" s="495"/>
      <c r="D70" s="495"/>
      <c r="E70" s="495"/>
      <c r="F70" s="495"/>
      <c r="G70" s="495"/>
      <c r="H70" s="495"/>
      <c r="I70" s="495"/>
      <c r="J70" s="496"/>
      <c r="K70" s="136"/>
    </row>
    <row r="71" spans="1:11" x14ac:dyDescent="0.25">
      <c r="A71" s="452" t="s">
        <v>2</v>
      </c>
      <c r="B71" s="453"/>
      <c r="C71" s="452" t="s">
        <v>74</v>
      </c>
      <c r="D71" s="453"/>
      <c r="E71" s="452"/>
      <c r="F71" s="457"/>
      <c r="G71" s="453"/>
      <c r="H71" s="456">
        <v>350</v>
      </c>
      <c r="I71" s="457"/>
      <c r="J71" s="453"/>
      <c r="K71" s="136"/>
    </row>
    <row r="72" spans="1:11" x14ac:dyDescent="0.25">
      <c r="A72" s="452" t="s">
        <v>7</v>
      </c>
      <c r="B72" s="453"/>
      <c r="C72" s="452" t="s">
        <v>75</v>
      </c>
      <c r="D72" s="453"/>
      <c r="E72" s="157"/>
      <c r="F72" s="158"/>
      <c r="G72" s="159"/>
      <c r="H72" s="456">
        <v>50</v>
      </c>
      <c r="I72" s="457"/>
      <c r="J72" s="453"/>
      <c r="K72" s="136"/>
    </row>
    <row r="73" spans="1:11" x14ac:dyDescent="0.25">
      <c r="A73" s="318" t="s">
        <v>8</v>
      </c>
      <c r="B73" s="319"/>
      <c r="C73" s="320" t="s">
        <v>76</v>
      </c>
      <c r="D73" s="321"/>
      <c r="E73" s="322"/>
      <c r="F73" s="323"/>
      <c r="G73" s="324"/>
      <c r="H73" s="450">
        <f>3000/120</f>
        <v>25</v>
      </c>
      <c r="I73" s="450"/>
      <c r="J73" s="450"/>
      <c r="K73" s="136"/>
    </row>
    <row r="74" spans="1:11" ht="15.75" thickBot="1" x14ac:dyDescent="0.3">
      <c r="A74" s="477" t="s">
        <v>9</v>
      </c>
      <c r="B74" s="477"/>
      <c r="C74" s="473" t="s">
        <v>28</v>
      </c>
      <c r="D74" s="474"/>
      <c r="E74" s="448"/>
      <c r="F74" s="448"/>
      <c r="G74" s="448"/>
      <c r="H74" s="449">
        <f>E31/30/12*15*8%</f>
        <v>0</v>
      </c>
      <c r="I74" s="449"/>
      <c r="J74" s="449"/>
      <c r="K74" s="136"/>
    </row>
    <row r="75" spans="1:11" ht="15.75" thickBot="1" x14ac:dyDescent="0.3">
      <c r="A75" s="570" t="s">
        <v>343</v>
      </c>
      <c r="B75" s="571"/>
      <c r="C75" s="571"/>
      <c r="D75" s="571"/>
      <c r="E75" s="571"/>
      <c r="F75" s="571"/>
      <c r="G75" s="572"/>
      <c r="H75" s="547">
        <f>SUM(H71:J74)</f>
        <v>425</v>
      </c>
      <c r="I75" s="485"/>
      <c r="J75" s="486"/>
      <c r="K75" s="136"/>
    </row>
    <row r="76" spans="1:11" ht="9" customHeight="1" thickBot="1" x14ac:dyDescent="0.3">
      <c r="E76" s="160"/>
      <c r="F76" s="160"/>
      <c r="G76" s="160"/>
      <c r="H76" s="161"/>
      <c r="I76" s="161"/>
      <c r="J76" s="161"/>
      <c r="K76" s="136"/>
    </row>
    <row r="77" spans="1:11" ht="26.25" customHeight="1" thickBot="1" x14ac:dyDescent="0.3">
      <c r="A77" s="494" t="s">
        <v>84</v>
      </c>
      <c r="B77" s="495"/>
      <c r="C77" s="495"/>
      <c r="D77" s="495"/>
      <c r="E77" s="495"/>
      <c r="F77" s="495"/>
      <c r="G77" s="495"/>
      <c r="H77" s="495"/>
      <c r="I77" s="495"/>
      <c r="J77" s="496"/>
      <c r="K77" s="136"/>
    </row>
    <row r="78" spans="1:11" x14ac:dyDescent="0.25">
      <c r="A78" s="452" t="s">
        <v>2</v>
      </c>
      <c r="B78" s="453"/>
      <c r="C78" s="452" t="s">
        <v>77</v>
      </c>
      <c r="D78" s="453"/>
      <c r="E78" s="537">
        <v>7.0000000000000007E-2</v>
      </c>
      <c r="F78" s="457"/>
      <c r="G78" s="453"/>
      <c r="H78" s="456">
        <f>(H75+E68+H47+E38+E12)*E78</f>
        <v>220.34858445767202</v>
      </c>
      <c r="I78" s="457"/>
      <c r="J78" s="453"/>
      <c r="K78" s="136"/>
    </row>
    <row r="79" spans="1:11" x14ac:dyDescent="0.25">
      <c r="A79" s="452" t="s">
        <v>7</v>
      </c>
      <c r="B79" s="453"/>
      <c r="C79" s="452" t="s">
        <v>12</v>
      </c>
      <c r="D79" s="453"/>
      <c r="E79" s="537">
        <v>7.5775182420245793E-2</v>
      </c>
      <c r="F79" s="457"/>
      <c r="G79" s="453"/>
      <c r="H79" s="456">
        <f>E79*(H75+E68+H47+E38+E12)</f>
        <v>238.52791690461473</v>
      </c>
      <c r="I79" s="457"/>
      <c r="J79" s="453"/>
      <c r="K79" s="136"/>
    </row>
    <row r="80" spans="1:11" x14ac:dyDescent="0.25">
      <c r="A80" s="318" t="s">
        <v>8</v>
      </c>
      <c r="B80" s="319"/>
      <c r="C80" s="320" t="s">
        <v>78</v>
      </c>
      <c r="D80" s="321"/>
      <c r="E80" s="578">
        <v>0.85750000000000004</v>
      </c>
      <c r="F80" s="579"/>
      <c r="G80" s="580"/>
      <c r="H80" s="450">
        <f>(H75+E68+H47+E38+E12)/E80</f>
        <v>3670.9468464418487</v>
      </c>
      <c r="I80" s="450"/>
      <c r="J80" s="450"/>
      <c r="K80" s="136"/>
    </row>
    <row r="81" spans="1:11" x14ac:dyDescent="0.25">
      <c r="A81" s="481" t="s">
        <v>9</v>
      </c>
      <c r="B81" s="481"/>
      <c r="C81" s="482" t="s">
        <v>79</v>
      </c>
      <c r="D81" s="483"/>
      <c r="E81" s="480">
        <v>1.6500000000000001E-2</v>
      </c>
      <c r="F81" s="480"/>
      <c r="G81" s="480"/>
      <c r="H81" s="450">
        <f>E81*D90</f>
        <v>51.286290000000008</v>
      </c>
      <c r="I81" s="450"/>
      <c r="J81" s="450"/>
      <c r="K81" s="136"/>
    </row>
    <row r="82" spans="1:11" x14ac:dyDescent="0.25">
      <c r="A82" s="481" t="s">
        <v>9</v>
      </c>
      <c r="B82" s="481"/>
      <c r="C82" s="482" t="s">
        <v>80</v>
      </c>
      <c r="D82" s="483"/>
      <c r="E82" s="480">
        <v>7.5999999999999998E-2</v>
      </c>
      <c r="F82" s="480"/>
      <c r="G82" s="480"/>
      <c r="H82" s="450">
        <f>E82*D90</f>
        <v>236.22776000000002</v>
      </c>
      <c r="I82" s="450"/>
      <c r="J82" s="450"/>
      <c r="K82" s="136"/>
    </row>
    <row r="83" spans="1:11" x14ac:dyDescent="0.25">
      <c r="A83" s="481" t="s">
        <v>10</v>
      </c>
      <c r="B83" s="481"/>
      <c r="C83" s="482" t="s">
        <v>81</v>
      </c>
      <c r="D83" s="483"/>
      <c r="E83" s="480"/>
      <c r="F83" s="480"/>
      <c r="G83" s="480"/>
      <c r="H83" s="450"/>
      <c r="I83" s="450"/>
      <c r="J83" s="450"/>
      <c r="K83" s="136"/>
    </row>
    <row r="84" spans="1:11" ht="15.75" thickBot="1" x14ac:dyDescent="0.3">
      <c r="A84" s="477" t="s">
        <v>11</v>
      </c>
      <c r="B84" s="477"/>
      <c r="C84" s="473" t="s">
        <v>110</v>
      </c>
      <c r="D84" s="474"/>
      <c r="E84" s="448">
        <v>0.05</v>
      </c>
      <c r="F84" s="448"/>
      <c r="G84" s="448"/>
      <c r="H84" s="449">
        <f>E84*D90</f>
        <v>155.41300000000001</v>
      </c>
      <c r="I84" s="449"/>
      <c r="J84" s="449"/>
      <c r="K84" s="136"/>
    </row>
    <row r="85" spans="1:11" ht="15.75" thickBot="1" x14ac:dyDescent="0.3">
      <c r="A85" s="570" t="s">
        <v>340</v>
      </c>
      <c r="B85" s="571"/>
      <c r="C85" s="571"/>
      <c r="D85" s="571"/>
      <c r="E85" s="571"/>
      <c r="F85" s="571"/>
      <c r="G85" s="572"/>
      <c r="H85" s="547">
        <f>H78+H79+H81+H82+H84</f>
        <v>901.80355136228673</v>
      </c>
      <c r="I85" s="485"/>
      <c r="J85" s="486"/>
      <c r="K85" s="136"/>
    </row>
    <row r="86" spans="1:11" ht="12" customHeight="1" thickBot="1" x14ac:dyDescent="0.3">
      <c r="E86" s="160"/>
      <c r="F86" s="160"/>
      <c r="G86" s="160"/>
      <c r="H86" s="161"/>
      <c r="I86" s="161"/>
      <c r="J86" s="161"/>
      <c r="K86" s="136"/>
    </row>
    <row r="87" spans="1:11" ht="15.75" thickBot="1" x14ac:dyDescent="0.3">
      <c r="A87" s="719" t="s">
        <v>85</v>
      </c>
      <c r="B87" s="720"/>
      <c r="C87" s="720"/>
      <c r="D87" s="720"/>
      <c r="E87" s="720"/>
      <c r="F87" s="720"/>
      <c r="G87" s="721"/>
      <c r="H87" s="722">
        <f>SUM(H85+H75+E68+H47+E38+E12)</f>
        <v>4049.6404721861722</v>
      </c>
      <c r="I87" s="723"/>
      <c r="J87" s="724"/>
      <c r="K87" s="136"/>
    </row>
    <row r="88" spans="1:11" hidden="1" x14ac:dyDescent="0.25">
      <c r="A88" s="136"/>
      <c r="B88" s="136"/>
      <c r="C88" s="136"/>
      <c r="D88" s="136"/>
      <c r="E88" s="136"/>
      <c r="F88" s="136"/>
      <c r="G88" s="136"/>
      <c r="H88" s="718">
        <v>9332.68</v>
      </c>
      <c r="I88" s="718"/>
      <c r="J88" s="718"/>
      <c r="K88" s="136"/>
    </row>
    <row r="90" spans="1:11" x14ac:dyDescent="0.25">
      <c r="D90" s="167">
        <v>3108.26</v>
      </c>
    </row>
  </sheetData>
  <mergeCells count="235">
    <mergeCell ref="A1:J1"/>
    <mergeCell ref="A85:G85"/>
    <mergeCell ref="A75:G75"/>
    <mergeCell ref="A47:G47"/>
    <mergeCell ref="A81:B81"/>
    <mergeCell ref="C81:D81"/>
    <mergeCell ref="E81:G81"/>
    <mergeCell ref="H81:J81"/>
    <mergeCell ref="A82:B82"/>
    <mergeCell ref="C82:D82"/>
    <mergeCell ref="E82:G82"/>
    <mergeCell ref="H82:J82"/>
    <mergeCell ref="A78:B78"/>
    <mergeCell ref="C78:D78"/>
    <mergeCell ref="A79:B79"/>
    <mergeCell ref="C79:D79"/>
    <mergeCell ref="E79:G79"/>
    <mergeCell ref="H79:J79"/>
    <mergeCell ref="A80:B80"/>
    <mergeCell ref="C80:D80"/>
    <mergeCell ref="E80:G80"/>
    <mergeCell ref="H80:J80"/>
    <mergeCell ref="E78:G78"/>
    <mergeCell ref="H78:J78"/>
    <mergeCell ref="H53:J53"/>
    <mergeCell ref="A54:B54"/>
    <mergeCell ref="C54:D54"/>
    <mergeCell ref="A55:B55"/>
    <mergeCell ref="C55:D55"/>
    <mergeCell ref="E55:G55"/>
    <mergeCell ref="H55:J55"/>
    <mergeCell ref="H88:J88"/>
    <mergeCell ref="A87:G87"/>
    <mergeCell ref="H87:J87"/>
    <mergeCell ref="A83:B83"/>
    <mergeCell ref="C83:D83"/>
    <mergeCell ref="E83:G83"/>
    <mergeCell ref="H83:J83"/>
    <mergeCell ref="A84:B84"/>
    <mergeCell ref="C84:D84"/>
    <mergeCell ref="E84:G84"/>
    <mergeCell ref="H84:J84"/>
    <mergeCell ref="H85:J85"/>
    <mergeCell ref="A38:D38"/>
    <mergeCell ref="E38:J38"/>
    <mergeCell ref="A40:J40"/>
    <mergeCell ref="A41:B41"/>
    <mergeCell ref="C41:D41"/>
    <mergeCell ref="A42:B42"/>
    <mergeCell ref="C42:D42"/>
    <mergeCell ref="H42:J42"/>
    <mergeCell ref="A43:B43"/>
    <mergeCell ref="C43:D43"/>
    <mergeCell ref="E43:G43"/>
    <mergeCell ref="H43:J43"/>
    <mergeCell ref="A23:B23"/>
    <mergeCell ref="A24:B24"/>
    <mergeCell ref="A25:B25"/>
    <mergeCell ref="A26:B26"/>
    <mergeCell ref="A27:B27"/>
    <mergeCell ref="A28:B28"/>
    <mergeCell ref="A29:B29"/>
    <mergeCell ref="C29:D29"/>
    <mergeCell ref="A30:D30"/>
    <mergeCell ref="C25:D25"/>
    <mergeCell ref="C23:D23"/>
    <mergeCell ref="A4:J4"/>
    <mergeCell ref="A2:C2"/>
    <mergeCell ref="D2:J2"/>
    <mergeCell ref="A3:J3"/>
    <mergeCell ref="A5:J5"/>
    <mergeCell ref="B6:D6"/>
    <mergeCell ref="B7:D7"/>
    <mergeCell ref="B8:D8"/>
    <mergeCell ref="E8:J8"/>
    <mergeCell ref="A21:J21"/>
    <mergeCell ref="A22:B22"/>
    <mergeCell ref="B9:D9"/>
    <mergeCell ref="E9:J9"/>
    <mergeCell ref="B10:D10"/>
    <mergeCell ref="E10:J10"/>
    <mergeCell ref="E6:J6"/>
    <mergeCell ref="E7:J7"/>
    <mergeCell ref="B11:D11"/>
    <mergeCell ref="E11:J11"/>
    <mergeCell ref="A12:D12"/>
    <mergeCell ref="E12:J12"/>
    <mergeCell ref="E23:G23"/>
    <mergeCell ref="H23:J23"/>
    <mergeCell ref="C24:D24"/>
    <mergeCell ref="E24:G24"/>
    <mergeCell ref="H24:J24"/>
    <mergeCell ref="A13:D13"/>
    <mergeCell ref="E13:J13"/>
    <mergeCell ref="A14:J14"/>
    <mergeCell ref="A15:J15"/>
    <mergeCell ref="A16:J16"/>
    <mergeCell ref="C22:D22"/>
    <mergeCell ref="E22:G22"/>
    <mergeCell ref="H22:J22"/>
    <mergeCell ref="E17:G17"/>
    <mergeCell ref="H17:J17"/>
    <mergeCell ref="E18:G18"/>
    <mergeCell ref="H18:J18"/>
    <mergeCell ref="B17:D17"/>
    <mergeCell ref="B18:D18"/>
    <mergeCell ref="A19:G19"/>
    <mergeCell ref="H19:J19"/>
    <mergeCell ref="B20:D20"/>
    <mergeCell ref="E20:G20"/>
    <mergeCell ref="H20:J20"/>
    <mergeCell ref="E34:G34"/>
    <mergeCell ref="H34:J34"/>
    <mergeCell ref="A34:B34"/>
    <mergeCell ref="C34:D34"/>
    <mergeCell ref="E25:G25"/>
    <mergeCell ref="H25:J25"/>
    <mergeCell ref="C26:D26"/>
    <mergeCell ref="E26:G26"/>
    <mergeCell ref="H26:J26"/>
    <mergeCell ref="E29:G29"/>
    <mergeCell ref="H29:J29"/>
    <mergeCell ref="A31:J31"/>
    <mergeCell ref="C32:D32"/>
    <mergeCell ref="E32:G32"/>
    <mergeCell ref="H32:J32"/>
    <mergeCell ref="C27:D27"/>
    <mergeCell ref="E27:G27"/>
    <mergeCell ref="H27:J27"/>
    <mergeCell ref="C28:D28"/>
    <mergeCell ref="E28:G28"/>
    <mergeCell ref="H28:J28"/>
    <mergeCell ref="E30:G30"/>
    <mergeCell ref="H30:J30"/>
    <mergeCell ref="A32:B32"/>
    <mergeCell ref="A33:B33"/>
    <mergeCell ref="A35:B35"/>
    <mergeCell ref="A36:B36"/>
    <mergeCell ref="A37:G37"/>
    <mergeCell ref="C44:D44"/>
    <mergeCell ref="E44:G44"/>
    <mergeCell ref="H44:J44"/>
    <mergeCell ref="C45:D45"/>
    <mergeCell ref="E45:G45"/>
    <mergeCell ref="H45:J45"/>
    <mergeCell ref="A39:J39"/>
    <mergeCell ref="H41:J41"/>
    <mergeCell ref="A44:B44"/>
    <mergeCell ref="A45:B45"/>
    <mergeCell ref="C36:D36"/>
    <mergeCell ref="E36:G36"/>
    <mergeCell ref="H36:J36"/>
    <mergeCell ref="H37:J37"/>
    <mergeCell ref="C33:D33"/>
    <mergeCell ref="E33:G33"/>
    <mergeCell ref="H33:J33"/>
    <mergeCell ref="C35:D35"/>
    <mergeCell ref="E35:G35"/>
    <mergeCell ref="H35:J35"/>
    <mergeCell ref="A77:J77"/>
    <mergeCell ref="H59:J59"/>
    <mergeCell ref="H60:J60"/>
    <mergeCell ref="E54:G54"/>
    <mergeCell ref="H54:J54"/>
    <mergeCell ref="H57:J57"/>
    <mergeCell ref="A56:B56"/>
    <mergeCell ref="C56:D56"/>
    <mergeCell ref="E56:G56"/>
    <mergeCell ref="H56:J56"/>
    <mergeCell ref="A57:D57"/>
    <mergeCell ref="E57:G57"/>
    <mergeCell ref="A58:J58"/>
    <mergeCell ref="A59:B59"/>
    <mergeCell ref="C59:D59"/>
    <mergeCell ref="A60:B60"/>
    <mergeCell ref="C60:D60"/>
    <mergeCell ref="E63:G63"/>
    <mergeCell ref="A68:D68"/>
    <mergeCell ref="E68:J68"/>
    <mergeCell ref="E74:G74"/>
    <mergeCell ref="H74:J74"/>
    <mergeCell ref="A71:B71"/>
    <mergeCell ref="C71:D71"/>
    <mergeCell ref="E67:G67"/>
    <mergeCell ref="H67:J67"/>
    <mergeCell ref="H61:J61"/>
    <mergeCell ref="H63:J63"/>
    <mergeCell ref="A66:B66"/>
    <mergeCell ref="C66:D66"/>
    <mergeCell ref="H66:J66"/>
    <mergeCell ref="A64:J64"/>
    <mergeCell ref="A65:B65"/>
    <mergeCell ref="C65:D65"/>
    <mergeCell ref="H65:J65"/>
    <mergeCell ref="A67:D67"/>
    <mergeCell ref="A61:B61"/>
    <mergeCell ref="C61:D61"/>
    <mergeCell ref="E61:G61"/>
    <mergeCell ref="E52:G52"/>
    <mergeCell ref="H52:J52"/>
    <mergeCell ref="E46:G46"/>
    <mergeCell ref="H46:J46"/>
    <mergeCell ref="A62:B62"/>
    <mergeCell ref="C62:D62"/>
    <mergeCell ref="E62:G62"/>
    <mergeCell ref="H62:J62"/>
    <mergeCell ref="A63:D63"/>
    <mergeCell ref="A46:B46"/>
    <mergeCell ref="C46:D46"/>
    <mergeCell ref="H47:J47"/>
    <mergeCell ref="A49:J49"/>
    <mergeCell ref="A50:B50"/>
    <mergeCell ref="C50:D50"/>
    <mergeCell ref="A51:B51"/>
    <mergeCell ref="C51:D51"/>
    <mergeCell ref="H51:J51"/>
    <mergeCell ref="H50:J50"/>
    <mergeCell ref="A52:B52"/>
    <mergeCell ref="C52:D52"/>
    <mergeCell ref="A53:B53"/>
    <mergeCell ref="C53:D53"/>
    <mergeCell ref="E53:G53"/>
    <mergeCell ref="A74:B74"/>
    <mergeCell ref="C74:D74"/>
    <mergeCell ref="H75:J75"/>
    <mergeCell ref="E71:G71"/>
    <mergeCell ref="H71:J71"/>
    <mergeCell ref="H72:J72"/>
    <mergeCell ref="A70:J70"/>
    <mergeCell ref="A72:B72"/>
    <mergeCell ref="C72:D72"/>
    <mergeCell ref="A73:B73"/>
    <mergeCell ref="C73:D73"/>
    <mergeCell ref="E73:G73"/>
    <mergeCell ref="H73:J73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79995117038483843"/>
  </sheetPr>
  <dimension ref="A1:K90"/>
  <sheetViews>
    <sheetView view="pageBreakPreview" topLeftCell="A37" zoomScaleNormal="100" zoomScaleSheetLayoutView="100" workbookViewId="0">
      <selection activeCell="A49" sqref="A49:J49"/>
    </sheetView>
  </sheetViews>
  <sheetFormatPr defaultRowHeight="15" x14ac:dyDescent="0.25"/>
  <cols>
    <col min="1" max="1" width="7.42578125" style="134" bestFit="1" customWidth="1"/>
    <col min="2" max="2" width="2" style="134" bestFit="1" customWidth="1"/>
    <col min="3" max="3" width="15.5703125" style="134" customWidth="1"/>
    <col min="4" max="4" width="35.7109375" style="134" customWidth="1"/>
    <col min="5" max="6" width="3.7109375" style="134" customWidth="1"/>
    <col min="7" max="7" width="2.140625" style="134" customWidth="1"/>
    <col min="8" max="8" width="2.7109375" style="134" customWidth="1"/>
    <col min="9" max="9" width="5" style="134" customWidth="1"/>
    <col min="10" max="10" width="5.85546875" style="134" customWidth="1"/>
    <col min="11" max="16384" width="9.140625" style="134"/>
  </cols>
  <sheetData>
    <row r="1" spans="1:11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1" ht="22.5" customHeight="1" thickBot="1" x14ac:dyDescent="0.3">
      <c r="A2" s="554" t="s">
        <v>0</v>
      </c>
      <c r="B2" s="555"/>
      <c r="C2" s="556"/>
      <c r="D2" s="557" t="s">
        <v>341</v>
      </c>
      <c r="E2" s="558"/>
      <c r="F2" s="558"/>
      <c r="G2" s="558"/>
      <c r="H2" s="558"/>
      <c r="I2" s="558"/>
      <c r="J2" s="559"/>
      <c r="K2" s="136"/>
    </row>
    <row r="3" spans="1:11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</row>
    <row r="4" spans="1:11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1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1" x14ac:dyDescent="0.25">
      <c r="A6" s="123" t="s">
        <v>2</v>
      </c>
      <c r="B6" s="606" t="s">
        <v>1</v>
      </c>
      <c r="C6" s="607"/>
      <c r="D6" s="608"/>
      <c r="E6" s="717">
        <v>1086.46</v>
      </c>
      <c r="F6" s="481"/>
      <c r="G6" s="481"/>
      <c r="H6" s="481"/>
      <c r="I6" s="481"/>
      <c r="J6" s="481"/>
      <c r="K6" s="136"/>
    </row>
    <row r="7" spans="1:11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36"/>
    </row>
    <row r="8" spans="1:11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36"/>
    </row>
    <row r="9" spans="1:11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36"/>
    </row>
    <row r="10" spans="1:11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36"/>
    </row>
    <row r="11" spans="1:11" ht="28.5" customHeight="1" thickBot="1" x14ac:dyDescent="0.3">
      <c r="A11" s="122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36"/>
    </row>
    <row r="12" spans="1:11" ht="15.75" thickBot="1" x14ac:dyDescent="0.3">
      <c r="A12" s="458" t="s">
        <v>330</v>
      </c>
      <c r="B12" s="459"/>
      <c r="C12" s="459"/>
      <c r="D12" s="460"/>
      <c r="E12" s="547">
        <f>SUM(E6:J11)</f>
        <v>1086.46</v>
      </c>
      <c r="F12" s="485"/>
      <c r="G12" s="485"/>
      <c r="H12" s="485"/>
      <c r="I12" s="485"/>
      <c r="J12" s="486"/>
      <c r="K12" s="136"/>
    </row>
    <row r="13" spans="1:11" ht="27.75" customHeight="1" x14ac:dyDescent="0.25">
      <c r="A13" s="551" t="s">
        <v>29</v>
      </c>
      <c r="B13" s="715"/>
      <c r="C13" s="715"/>
      <c r="D13" s="716"/>
      <c r="E13" s="548">
        <f>E12*E30</f>
        <v>399.81728000000004</v>
      </c>
      <c r="F13" s="549"/>
      <c r="G13" s="549"/>
      <c r="H13" s="549"/>
      <c r="I13" s="549"/>
      <c r="J13" s="550"/>
      <c r="K13" s="136"/>
    </row>
    <row r="14" spans="1:11" ht="9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1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1" ht="30" customHeight="1" thickBot="1" x14ac:dyDescent="0.3">
      <c r="A16" s="507" t="s">
        <v>344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ht="14.25" customHeight="1" x14ac:dyDescent="0.25">
      <c r="A17" s="123" t="s">
        <v>2</v>
      </c>
      <c r="B17" s="532" t="s">
        <v>34</v>
      </c>
      <c r="C17" s="726"/>
      <c r="D17" s="533"/>
      <c r="E17" s="727">
        <v>8.3299999999999999E-2</v>
      </c>
      <c r="F17" s="728"/>
      <c r="G17" s="729"/>
      <c r="H17" s="450">
        <f>E17*E12</f>
        <v>90.502117999999996</v>
      </c>
      <c r="I17" s="450"/>
      <c r="J17" s="450"/>
      <c r="K17" s="136"/>
    </row>
    <row r="18" spans="1:11" x14ac:dyDescent="0.25">
      <c r="A18" s="123" t="s">
        <v>7</v>
      </c>
      <c r="B18" s="532" t="s">
        <v>35</v>
      </c>
      <c r="C18" s="726"/>
      <c r="D18" s="533"/>
      <c r="E18" s="692">
        <v>0.121</v>
      </c>
      <c r="F18" s="693"/>
      <c r="G18" s="694"/>
      <c r="H18" s="450">
        <f>E18*E12</f>
        <v>131.46165999999999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221.96377799999999</v>
      </c>
      <c r="I19" s="525"/>
      <c r="J19" s="525"/>
      <c r="K19" s="136"/>
    </row>
    <row r="20" spans="1:11" ht="28.5" customHeight="1" thickBot="1" x14ac:dyDescent="0.3">
      <c r="A20" s="123" t="s">
        <v>8</v>
      </c>
      <c r="B20" s="478" t="s">
        <v>37</v>
      </c>
      <c r="C20" s="691"/>
      <c r="D20" s="479"/>
      <c r="E20" s="692">
        <v>7.8200000000000006E-2</v>
      </c>
      <c r="F20" s="693"/>
      <c r="G20" s="694"/>
      <c r="H20" s="290">
        <f>E12*E20</f>
        <v>84.961172000000005</v>
      </c>
      <c r="I20" s="291"/>
      <c r="J20" s="292"/>
      <c r="K20" s="136"/>
    </row>
    <row r="21" spans="1:11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261.68475560000002</v>
      </c>
      <c r="I22" s="450"/>
      <c r="J22" s="450"/>
      <c r="K22" s="136"/>
    </row>
    <row r="23" spans="1:11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32.710594450000002</v>
      </c>
      <c r="I23" s="450"/>
      <c r="J23" s="450"/>
      <c r="K23" s="136"/>
    </row>
    <row r="24" spans="1:11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39.25271334</v>
      </c>
      <c r="I24" s="450"/>
      <c r="J24" s="450"/>
      <c r="K24" s="136"/>
    </row>
    <row r="25" spans="1:11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19.62635667</v>
      </c>
      <c r="I25" s="450"/>
      <c r="J25" s="450"/>
      <c r="K25" s="136"/>
    </row>
    <row r="26" spans="1:11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13.08423778</v>
      </c>
      <c r="I26" s="450"/>
      <c r="J26" s="450"/>
      <c r="K26" s="136"/>
    </row>
    <row r="27" spans="1:11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7.850542668000001</v>
      </c>
      <c r="I27" s="450"/>
      <c r="J27" s="450"/>
      <c r="K27" s="136"/>
    </row>
    <row r="28" spans="1:11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2.6168475560000002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104.67390224</v>
      </c>
      <c r="I29" s="450"/>
      <c r="J29" s="450"/>
      <c r="K29" s="136"/>
    </row>
    <row r="30" spans="1:11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481.49995030400009</v>
      </c>
      <c r="I30" s="592"/>
      <c r="J30" s="592"/>
      <c r="K30" s="136"/>
    </row>
    <row r="31" spans="1:11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1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(3.9*2*16)-6%*E6</f>
        <v>59.612399999999994</v>
      </c>
      <c r="I32" s="450"/>
      <c r="J32" s="450"/>
      <c r="K32" s="136"/>
    </row>
    <row r="33" spans="1:11" x14ac:dyDescent="0.25">
      <c r="A33" s="482" t="s">
        <v>7</v>
      </c>
      <c r="B33" s="483"/>
      <c r="C33" s="482" t="s">
        <v>150</v>
      </c>
      <c r="D33" s="483"/>
      <c r="E33" s="497"/>
      <c r="F33" s="497"/>
      <c r="G33" s="497"/>
      <c r="H33" s="450">
        <f>156.45-(156.45*0.5%)</f>
        <v>155.66774999999998</v>
      </c>
      <c r="I33" s="450"/>
      <c r="J33" s="450"/>
      <c r="K33" s="136"/>
    </row>
    <row r="34" spans="1:11" x14ac:dyDescent="0.25">
      <c r="A34" s="482"/>
      <c r="B34" s="483"/>
      <c r="C34" s="482" t="s">
        <v>151</v>
      </c>
      <c r="D34" s="483"/>
      <c r="E34" s="287"/>
      <c r="F34" s="288"/>
      <c r="G34" s="289"/>
      <c r="H34" s="290">
        <f>(12.5*16)-20%</f>
        <v>199.8</v>
      </c>
      <c r="I34" s="291"/>
      <c r="J34" s="292"/>
      <c r="K34" s="136"/>
    </row>
    <row r="35" spans="1:11" x14ac:dyDescent="0.25">
      <c r="A35" s="482" t="s">
        <v>8</v>
      </c>
      <c r="B35" s="483"/>
      <c r="C35" s="284" t="s">
        <v>49</v>
      </c>
      <c r="D35" s="286"/>
      <c r="E35" s="497"/>
      <c r="F35" s="497"/>
      <c r="G35" s="497"/>
      <c r="H35" s="450">
        <v>105.05</v>
      </c>
      <c r="I35" s="450"/>
      <c r="J35" s="450"/>
      <c r="K35" s="136"/>
    </row>
    <row r="36" spans="1:11" x14ac:dyDescent="0.25">
      <c r="A36" s="482" t="s">
        <v>9</v>
      </c>
      <c r="B36" s="483"/>
      <c r="C36" s="478" t="s">
        <v>28</v>
      </c>
      <c r="D36" s="479"/>
      <c r="E36" s="497"/>
      <c r="F36" s="497"/>
      <c r="G36" s="497"/>
      <c r="H36" s="450">
        <v>108.9</v>
      </c>
      <c r="I36" s="450"/>
      <c r="J36" s="450"/>
      <c r="K36" s="136"/>
    </row>
    <row r="37" spans="1:11" ht="15.75" thickBot="1" x14ac:dyDescent="0.3">
      <c r="A37" s="504" t="s">
        <v>38</v>
      </c>
      <c r="B37" s="505"/>
      <c r="C37" s="505"/>
      <c r="D37" s="505"/>
      <c r="E37" s="505"/>
      <c r="F37" s="505"/>
      <c r="G37" s="506"/>
      <c r="H37" s="451">
        <f>SUM(H32:J36)</f>
        <v>629.03014999999994</v>
      </c>
      <c r="I37" s="451"/>
      <c r="J37" s="451"/>
      <c r="K37" s="136"/>
    </row>
    <row r="38" spans="1:11" ht="15.75" thickBot="1" x14ac:dyDescent="0.3">
      <c r="A38" s="458" t="s">
        <v>72</v>
      </c>
      <c r="B38" s="459"/>
      <c r="C38" s="459"/>
      <c r="D38" s="725"/>
      <c r="E38" s="587">
        <f>H19+H30+H37</f>
        <v>1332.4938783040002</v>
      </c>
      <c r="F38" s="498"/>
      <c r="G38" s="498"/>
      <c r="H38" s="498"/>
      <c r="I38" s="498"/>
      <c r="J38" s="499"/>
      <c r="K38" s="136"/>
    </row>
    <row r="39" spans="1:11" ht="9" customHeight="1" thickBot="1" x14ac:dyDescent="0.3">
      <c r="A39" s="602"/>
      <c r="B39" s="602"/>
      <c r="C39" s="602"/>
      <c r="D39" s="602"/>
      <c r="E39" s="602"/>
      <c r="F39" s="602"/>
      <c r="G39" s="602"/>
      <c r="H39" s="602"/>
      <c r="I39" s="602"/>
      <c r="J39" s="602"/>
      <c r="K39" s="136"/>
    </row>
    <row r="40" spans="1:11" ht="27" customHeight="1" thickBot="1" x14ac:dyDescent="0.3">
      <c r="A40" s="494" t="s">
        <v>129</v>
      </c>
      <c r="B40" s="495"/>
      <c r="C40" s="495"/>
      <c r="D40" s="495"/>
      <c r="E40" s="495"/>
      <c r="F40" s="495"/>
      <c r="G40" s="495"/>
      <c r="H40" s="495"/>
      <c r="I40" s="495"/>
      <c r="J40" s="496"/>
      <c r="K40" s="136"/>
    </row>
    <row r="41" spans="1:11" x14ac:dyDescent="0.25">
      <c r="A41" s="452" t="s">
        <v>2</v>
      </c>
      <c r="B41" s="453"/>
      <c r="C41" s="452" t="s">
        <v>51</v>
      </c>
      <c r="D41" s="453"/>
      <c r="E41" s="157"/>
      <c r="F41" s="158"/>
      <c r="G41" s="159"/>
      <c r="H41" s="456">
        <f>E12/12*5%</f>
        <v>4.5269166666666676</v>
      </c>
      <c r="I41" s="457"/>
      <c r="J41" s="453"/>
      <c r="K41" s="136"/>
    </row>
    <row r="42" spans="1:11" x14ac:dyDescent="0.25">
      <c r="A42" s="452" t="s">
        <v>7</v>
      </c>
      <c r="B42" s="453"/>
      <c r="C42" s="452" t="s">
        <v>52</v>
      </c>
      <c r="D42" s="453"/>
      <c r="E42" s="157"/>
      <c r="F42" s="158"/>
      <c r="G42" s="159"/>
      <c r="H42" s="456">
        <f>H41*8%</f>
        <v>0.36215333333333344</v>
      </c>
      <c r="I42" s="457"/>
      <c r="J42" s="453"/>
      <c r="K42" s="136"/>
    </row>
    <row r="43" spans="1:11" ht="26.25" customHeight="1" x14ac:dyDescent="0.25">
      <c r="A43" s="318" t="s">
        <v>8</v>
      </c>
      <c r="B43" s="319"/>
      <c r="C43" s="320" t="s">
        <v>53</v>
      </c>
      <c r="D43" s="321"/>
      <c r="E43" s="322"/>
      <c r="F43" s="323"/>
      <c r="G43" s="324"/>
      <c r="H43" s="450">
        <f>E43*E12</f>
        <v>0</v>
      </c>
      <c r="I43" s="450"/>
      <c r="J43" s="450"/>
      <c r="K43" s="136"/>
    </row>
    <row r="44" spans="1:11" x14ac:dyDescent="0.25">
      <c r="A44" s="481" t="s">
        <v>9</v>
      </c>
      <c r="B44" s="481"/>
      <c r="C44" s="482" t="s">
        <v>54</v>
      </c>
      <c r="D44" s="483"/>
      <c r="E44" s="480"/>
      <c r="F44" s="480"/>
      <c r="G44" s="480"/>
      <c r="H44" s="450">
        <f>E12/30/12*7*100%</f>
        <v>21.125611111111109</v>
      </c>
      <c r="I44" s="450"/>
      <c r="J44" s="450"/>
      <c r="K44" s="136"/>
    </row>
    <row r="45" spans="1:11" ht="28.5" customHeight="1" x14ac:dyDescent="0.25">
      <c r="A45" s="481" t="s">
        <v>10</v>
      </c>
      <c r="B45" s="481"/>
      <c r="C45" s="478" t="s">
        <v>93</v>
      </c>
      <c r="D45" s="479"/>
      <c r="E45" s="480"/>
      <c r="F45" s="480"/>
      <c r="G45" s="480"/>
      <c r="H45" s="450">
        <f>H44*39.8%</f>
        <v>8.4079932222222205</v>
      </c>
      <c r="I45" s="450"/>
      <c r="J45" s="450"/>
      <c r="K45" s="136"/>
    </row>
    <row r="46" spans="1:11" ht="30" customHeight="1" thickBot="1" x14ac:dyDescent="0.3">
      <c r="A46" s="473" t="s">
        <v>11</v>
      </c>
      <c r="B46" s="474"/>
      <c r="C46" s="475" t="s">
        <v>53</v>
      </c>
      <c r="D46" s="476"/>
      <c r="E46" s="467"/>
      <c r="F46" s="468"/>
      <c r="G46" s="469"/>
      <c r="H46" s="470">
        <f>E12*5%</f>
        <v>54.323000000000008</v>
      </c>
      <c r="I46" s="471"/>
      <c r="J46" s="472"/>
      <c r="K46" s="136"/>
    </row>
    <row r="47" spans="1:11" ht="15.75" thickBot="1" x14ac:dyDescent="0.3">
      <c r="A47" s="570" t="s">
        <v>333</v>
      </c>
      <c r="B47" s="571"/>
      <c r="C47" s="571"/>
      <c r="D47" s="571"/>
      <c r="E47" s="571"/>
      <c r="F47" s="571"/>
      <c r="G47" s="572"/>
      <c r="H47" s="547">
        <f>SUM(H41:J46)</f>
        <v>88.745674333333341</v>
      </c>
      <c r="I47" s="485"/>
      <c r="J47" s="486"/>
      <c r="K47" s="136"/>
    </row>
    <row r="48" spans="1:11" ht="9.75" customHeight="1" thickBot="1" x14ac:dyDescent="0.3">
      <c r="E48" s="160"/>
      <c r="F48" s="160"/>
      <c r="G48" s="160"/>
      <c r="H48" s="161"/>
      <c r="I48" s="161"/>
      <c r="J48" s="161"/>
      <c r="K48" s="136"/>
    </row>
    <row r="49" spans="1:11" ht="30" customHeight="1" thickBot="1" x14ac:dyDescent="0.3">
      <c r="A49" s="494" t="s">
        <v>388</v>
      </c>
      <c r="B49" s="495"/>
      <c r="C49" s="495"/>
      <c r="D49" s="495"/>
      <c r="E49" s="495"/>
      <c r="F49" s="495"/>
      <c r="G49" s="495"/>
      <c r="H49" s="495"/>
      <c r="I49" s="495"/>
      <c r="J49" s="496"/>
      <c r="K49" s="136"/>
    </row>
    <row r="50" spans="1:11" x14ac:dyDescent="0.25">
      <c r="A50" s="452" t="s">
        <v>2</v>
      </c>
      <c r="B50" s="453"/>
      <c r="C50" s="452" t="s">
        <v>56</v>
      </c>
      <c r="D50" s="453"/>
      <c r="E50" s="157"/>
      <c r="F50" s="158"/>
      <c r="G50" s="159"/>
      <c r="H50" s="456">
        <f>E20/12*5%</f>
        <v>3.2583333333333336E-4</v>
      </c>
      <c r="I50" s="457"/>
      <c r="J50" s="453"/>
      <c r="K50" s="136"/>
    </row>
    <row r="51" spans="1:11" x14ac:dyDescent="0.25">
      <c r="A51" s="452" t="s">
        <v>7</v>
      </c>
      <c r="B51" s="453"/>
      <c r="C51" s="452" t="s">
        <v>57</v>
      </c>
      <c r="D51" s="453"/>
      <c r="E51" s="157"/>
      <c r="F51" s="158"/>
      <c r="G51" s="159"/>
      <c r="H51" s="456">
        <f>E12/30/12</f>
        <v>3.0179444444444443</v>
      </c>
      <c r="I51" s="457"/>
      <c r="J51" s="453"/>
      <c r="K51" s="136"/>
    </row>
    <row r="52" spans="1:11" x14ac:dyDescent="0.25">
      <c r="A52" s="318" t="s">
        <v>8</v>
      </c>
      <c r="B52" s="319"/>
      <c r="C52" s="320" t="s">
        <v>58</v>
      </c>
      <c r="D52" s="321"/>
      <c r="E52" s="322"/>
      <c r="F52" s="323"/>
      <c r="G52" s="324"/>
      <c r="H52" s="450">
        <f>E12/30/12*5*1.5%</f>
        <v>0.2263458333333333</v>
      </c>
      <c r="I52" s="450"/>
      <c r="J52" s="450"/>
      <c r="K52" s="136"/>
    </row>
    <row r="53" spans="1:11" ht="28.5" customHeight="1" x14ac:dyDescent="0.25">
      <c r="A53" s="481" t="s">
        <v>9</v>
      </c>
      <c r="B53" s="481"/>
      <c r="C53" s="284" t="s">
        <v>59</v>
      </c>
      <c r="D53" s="286"/>
      <c r="E53" s="480"/>
      <c r="F53" s="480"/>
      <c r="G53" s="480"/>
      <c r="H53" s="450">
        <f>E12/30/12*15*8%</f>
        <v>3.6215333333333333</v>
      </c>
      <c r="I53" s="450"/>
      <c r="J53" s="450"/>
      <c r="K53" s="136"/>
    </row>
    <row r="54" spans="1:11" x14ac:dyDescent="0.25">
      <c r="A54" s="481" t="s">
        <v>10</v>
      </c>
      <c r="B54" s="481"/>
      <c r="C54" s="478" t="s">
        <v>60</v>
      </c>
      <c r="D54" s="479"/>
      <c r="E54" s="480"/>
      <c r="F54" s="480"/>
      <c r="G54" s="480"/>
      <c r="H54" s="450">
        <f>E20*5%</f>
        <v>3.9100000000000003E-3</v>
      </c>
      <c r="I54" s="450"/>
      <c r="J54" s="450"/>
      <c r="K54" s="136"/>
    </row>
    <row r="55" spans="1:11" x14ac:dyDescent="0.25">
      <c r="A55" s="481" t="s">
        <v>11</v>
      </c>
      <c r="B55" s="481"/>
      <c r="C55" s="478" t="s">
        <v>61</v>
      </c>
      <c r="D55" s="479"/>
      <c r="E55" s="480"/>
      <c r="F55" s="480"/>
      <c r="G55" s="480"/>
      <c r="H55" s="450">
        <f>E12/30/12*5*40%</f>
        <v>6.0358888888888886</v>
      </c>
      <c r="I55" s="450"/>
      <c r="J55" s="450"/>
      <c r="K55" s="136"/>
    </row>
    <row r="56" spans="1:11" ht="27" customHeight="1" x14ac:dyDescent="0.25">
      <c r="A56" s="481" t="s">
        <v>39</v>
      </c>
      <c r="B56" s="481"/>
      <c r="C56" s="478" t="s">
        <v>62</v>
      </c>
      <c r="D56" s="479"/>
      <c r="E56" s="480"/>
      <c r="F56" s="480"/>
      <c r="G56" s="480"/>
      <c r="H56" s="450">
        <f>SUM(H50:J55)*39.8%</f>
        <v>5.1365674366666658</v>
      </c>
      <c r="I56" s="450"/>
      <c r="J56" s="450"/>
      <c r="K56" s="136"/>
    </row>
    <row r="57" spans="1:11" ht="15.75" thickBot="1" x14ac:dyDescent="0.3">
      <c r="A57" s="588" t="s">
        <v>36</v>
      </c>
      <c r="B57" s="588"/>
      <c r="C57" s="588"/>
      <c r="D57" s="588"/>
      <c r="E57" s="589"/>
      <c r="F57" s="590"/>
      <c r="G57" s="591"/>
      <c r="H57" s="592">
        <f>SUM(H50:J56)</f>
        <v>18.042515769999998</v>
      </c>
      <c r="I57" s="592"/>
      <c r="J57" s="592"/>
      <c r="K57" s="136"/>
    </row>
    <row r="58" spans="1:11" ht="15.75" thickBot="1" x14ac:dyDescent="0.3">
      <c r="A58" s="507" t="s">
        <v>127</v>
      </c>
      <c r="B58" s="508"/>
      <c r="C58" s="508"/>
      <c r="D58" s="508"/>
      <c r="E58" s="508"/>
      <c r="F58" s="508"/>
      <c r="G58" s="508"/>
      <c r="H58" s="508"/>
      <c r="I58" s="508"/>
      <c r="J58" s="509"/>
      <c r="K58" s="136"/>
    </row>
    <row r="59" spans="1:11" ht="30.75" customHeight="1" x14ac:dyDescent="0.25">
      <c r="A59" s="452" t="s">
        <v>2</v>
      </c>
      <c r="B59" s="453"/>
      <c r="C59" s="454" t="s">
        <v>64</v>
      </c>
      <c r="D59" s="455"/>
      <c r="E59" s="157"/>
      <c r="F59" s="158"/>
      <c r="G59" s="159"/>
      <c r="H59" s="456">
        <f>((((E12+(E12/3))*0.3333)/12)*2%)</f>
        <v>0.80470470666666671</v>
      </c>
      <c r="I59" s="457"/>
      <c r="J59" s="453"/>
      <c r="K59" s="136"/>
    </row>
    <row r="60" spans="1:11" ht="44.25" customHeight="1" x14ac:dyDescent="0.25">
      <c r="A60" s="452" t="s">
        <v>7</v>
      </c>
      <c r="B60" s="453"/>
      <c r="C60" s="454" t="s">
        <v>65</v>
      </c>
      <c r="D60" s="455"/>
      <c r="E60" s="157"/>
      <c r="F60" s="158"/>
      <c r="G60" s="159"/>
      <c r="H60" s="456">
        <f>H59*39.8%</f>
        <v>0.3202724732533333</v>
      </c>
      <c r="I60" s="457"/>
      <c r="J60" s="453"/>
      <c r="K60" s="136"/>
    </row>
    <row r="61" spans="1:11" ht="43.5" customHeight="1" x14ac:dyDescent="0.25">
      <c r="A61" s="318" t="s">
        <v>8</v>
      </c>
      <c r="B61" s="319"/>
      <c r="C61" s="454" t="s">
        <v>66</v>
      </c>
      <c r="D61" s="455"/>
      <c r="E61" s="322"/>
      <c r="F61" s="323"/>
      <c r="G61" s="324"/>
      <c r="H61" s="450">
        <f>(((E12+H17)*0.333)*2%)*39.8%</f>
        <v>3.1197499469402397</v>
      </c>
      <c r="I61" s="450"/>
      <c r="J61" s="450"/>
      <c r="K61" s="136"/>
    </row>
    <row r="62" spans="1:11" x14ac:dyDescent="0.25">
      <c r="A62" s="481" t="s">
        <v>9</v>
      </c>
      <c r="B62" s="481"/>
      <c r="C62" s="482" t="s">
        <v>67</v>
      </c>
      <c r="D62" s="483"/>
      <c r="E62" s="480"/>
      <c r="F62" s="480"/>
      <c r="G62" s="480"/>
      <c r="H62" s="450"/>
      <c r="I62" s="450"/>
      <c r="J62" s="450"/>
      <c r="K62" s="136"/>
    </row>
    <row r="63" spans="1:11" ht="15.75" thickBot="1" x14ac:dyDescent="0.3">
      <c r="A63" s="588" t="s">
        <v>36</v>
      </c>
      <c r="B63" s="588"/>
      <c r="C63" s="588"/>
      <c r="D63" s="588"/>
      <c r="E63" s="589"/>
      <c r="F63" s="590"/>
      <c r="G63" s="591"/>
      <c r="H63" s="592">
        <f>SUM(H59:J62)</f>
        <v>4.2447271268602398</v>
      </c>
      <c r="I63" s="592"/>
      <c r="J63" s="592"/>
      <c r="K63" s="136"/>
    </row>
    <row r="64" spans="1:11" ht="15.75" thickBot="1" x14ac:dyDescent="0.3">
      <c r="A64" s="507" t="s">
        <v>126</v>
      </c>
      <c r="B64" s="508"/>
      <c r="C64" s="508"/>
      <c r="D64" s="508"/>
      <c r="E64" s="508"/>
      <c r="F64" s="508"/>
      <c r="G64" s="508"/>
      <c r="H64" s="508"/>
      <c r="I64" s="508"/>
      <c r="J64" s="509"/>
      <c r="K64" s="136"/>
    </row>
    <row r="65" spans="1:11" ht="27.75" customHeight="1" x14ac:dyDescent="0.25">
      <c r="A65" s="452" t="s">
        <v>2</v>
      </c>
      <c r="B65" s="453"/>
      <c r="C65" s="454" t="s">
        <v>69</v>
      </c>
      <c r="D65" s="455"/>
      <c r="E65" s="157"/>
      <c r="F65" s="158"/>
      <c r="G65" s="159"/>
      <c r="H65" s="456">
        <f>((((E18+(E18/3))*0.3333)/12)*2%)</f>
        <v>8.9620666666666654E-5</v>
      </c>
      <c r="I65" s="457"/>
      <c r="J65" s="453"/>
      <c r="K65" s="136"/>
    </row>
    <row r="66" spans="1:11" ht="28.5" customHeight="1" x14ac:dyDescent="0.25">
      <c r="A66" s="452" t="s">
        <v>7</v>
      </c>
      <c r="B66" s="453"/>
      <c r="C66" s="454" t="s">
        <v>70</v>
      </c>
      <c r="D66" s="455"/>
      <c r="E66" s="157"/>
      <c r="F66" s="158"/>
      <c r="G66" s="159"/>
      <c r="H66" s="456">
        <f>H65*39.8%</f>
        <v>3.5669025333333325E-5</v>
      </c>
      <c r="I66" s="457"/>
      <c r="J66" s="453"/>
      <c r="K66" s="136"/>
    </row>
    <row r="67" spans="1:11" ht="15.75" thickBot="1" x14ac:dyDescent="0.3">
      <c r="A67" s="487" t="s">
        <v>36</v>
      </c>
      <c r="B67" s="487"/>
      <c r="C67" s="487"/>
      <c r="D67" s="487"/>
      <c r="E67" s="491"/>
      <c r="F67" s="492"/>
      <c r="G67" s="493"/>
      <c r="H67" s="451">
        <f>SUM(H65:J66)</f>
        <v>1.2528969199999997E-4</v>
      </c>
      <c r="I67" s="451"/>
      <c r="J67" s="451"/>
      <c r="K67" s="136"/>
    </row>
    <row r="68" spans="1:11" ht="15.75" thickBot="1" x14ac:dyDescent="0.3">
      <c r="A68" s="458" t="s">
        <v>71</v>
      </c>
      <c r="B68" s="459"/>
      <c r="C68" s="459"/>
      <c r="D68" s="460"/>
      <c r="E68" s="587">
        <f>H67+H63+H57</f>
        <v>22.287368186552236</v>
      </c>
      <c r="F68" s="498"/>
      <c r="G68" s="498"/>
      <c r="H68" s="498"/>
      <c r="I68" s="498"/>
      <c r="J68" s="499"/>
      <c r="K68" s="136"/>
    </row>
    <row r="69" spans="1:11" ht="10.5" customHeight="1" thickBot="1" x14ac:dyDescent="0.3">
      <c r="A69" s="135"/>
      <c r="B69" s="135"/>
      <c r="C69" s="135"/>
      <c r="D69" s="135"/>
      <c r="E69" s="135"/>
      <c r="F69" s="135"/>
      <c r="G69" s="135"/>
      <c r="H69" s="135"/>
      <c r="I69" s="135"/>
      <c r="J69" s="135"/>
      <c r="K69" s="136"/>
    </row>
    <row r="70" spans="1:11" ht="27" customHeight="1" thickBot="1" x14ac:dyDescent="0.3">
      <c r="A70" s="494" t="s">
        <v>73</v>
      </c>
      <c r="B70" s="495"/>
      <c r="C70" s="495"/>
      <c r="D70" s="495"/>
      <c r="E70" s="495"/>
      <c r="F70" s="495"/>
      <c r="G70" s="495"/>
      <c r="H70" s="495"/>
      <c r="I70" s="495"/>
      <c r="J70" s="496"/>
      <c r="K70" s="136"/>
    </row>
    <row r="71" spans="1:11" x14ac:dyDescent="0.25">
      <c r="A71" s="452" t="s">
        <v>2</v>
      </c>
      <c r="B71" s="453"/>
      <c r="C71" s="452" t="s">
        <v>74</v>
      </c>
      <c r="D71" s="453"/>
      <c r="E71" s="452"/>
      <c r="F71" s="457"/>
      <c r="G71" s="453"/>
      <c r="H71" s="456">
        <v>350</v>
      </c>
      <c r="I71" s="457"/>
      <c r="J71" s="453"/>
      <c r="K71" s="136"/>
    </row>
    <row r="72" spans="1:11" x14ac:dyDescent="0.25">
      <c r="A72" s="452" t="s">
        <v>7</v>
      </c>
      <c r="B72" s="453"/>
      <c r="C72" s="452" t="s">
        <v>75</v>
      </c>
      <c r="D72" s="453"/>
      <c r="E72" s="157"/>
      <c r="F72" s="158"/>
      <c r="G72" s="159"/>
      <c r="H72" s="456">
        <v>50</v>
      </c>
      <c r="I72" s="457"/>
      <c r="J72" s="453"/>
      <c r="K72" s="136"/>
    </row>
    <row r="73" spans="1:11" x14ac:dyDescent="0.25">
      <c r="A73" s="318" t="s">
        <v>8</v>
      </c>
      <c r="B73" s="319"/>
      <c r="C73" s="320" t="s">
        <v>76</v>
      </c>
      <c r="D73" s="321"/>
      <c r="E73" s="322"/>
      <c r="F73" s="323"/>
      <c r="G73" s="324"/>
      <c r="H73" s="450">
        <f>3000/120</f>
        <v>25</v>
      </c>
      <c r="I73" s="450"/>
      <c r="J73" s="450"/>
      <c r="K73" s="136"/>
    </row>
    <row r="74" spans="1:11" ht="15.75" thickBot="1" x14ac:dyDescent="0.3">
      <c r="A74" s="477" t="s">
        <v>9</v>
      </c>
      <c r="B74" s="477"/>
      <c r="C74" s="473" t="s">
        <v>28</v>
      </c>
      <c r="D74" s="474"/>
      <c r="E74" s="448"/>
      <c r="F74" s="448"/>
      <c r="G74" s="448"/>
      <c r="H74" s="449">
        <f>E31/30/12*15*8%</f>
        <v>0</v>
      </c>
      <c r="I74" s="449"/>
      <c r="J74" s="449"/>
      <c r="K74" s="136"/>
    </row>
    <row r="75" spans="1:11" ht="15.75" thickBot="1" x14ac:dyDescent="0.3">
      <c r="A75" s="570" t="s">
        <v>336</v>
      </c>
      <c r="B75" s="571"/>
      <c r="C75" s="571"/>
      <c r="D75" s="571"/>
      <c r="E75" s="571"/>
      <c r="F75" s="571"/>
      <c r="G75" s="572"/>
      <c r="H75" s="547">
        <f>SUM(H71:J74)</f>
        <v>425</v>
      </c>
      <c r="I75" s="485"/>
      <c r="J75" s="486"/>
      <c r="K75" s="136"/>
    </row>
    <row r="76" spans="1:11" ht="9" customHeight="1" thickBot="1" x14ac:dyDescent="0.3">
      <c r="E76" s="160"/>
      <c r="F76" s="160"/>
      <c r="G76" s="160"/>
      <c r="H76" s="161"/>
      <c r="I76" s="161"/>
      <c r="J76" s="161"/>
      <c r="K76" s="136"/>
    </row>
    <row r="77" spans="1:11" ht="27" customHeight="1" thickBot="1" x14ac:dyDescent="0.3">
      <c r="A77" s="494" t="s">
        <v>84</v>
      </c>
      <c r="B77" s="495"/>
      <c r="C77" s="495"/>
      <c r="D77" s="495"/>
      <c r="E77" s="495"/>
      <c r="F77" s="495"/>
      <c r="G77" s="495"/>
      <c r="H77" s="495"/>
      <c r="I77" s="495"/>
      <c r="J77" s="496"/>
      <c r="K77" s="136"/>
    </row>
    <row r="78" spans="1:11" x14ac:dyDescent="0.25">
      <c r="A78" s="452" t="s">
        <v>2</v>
      </c>
      <c r="B78" s="453"/>
      <c r="C78" s="452" t="s">
        <v>77</v>
      </c>
      <c r="D78" s="453"/>
      <c r="E78" s="537">
        <v>7.0000000000000007E-2</v>
      </c>
      <c r="F78" s="457"/>
      <c r="G78" s="453"/>
      <c r="H78" s="456">
        <f>(H75+E68+H47+E38+E12)*E78</f>
        <v>206.84908445767203</v>
      </c>
      <c r="I78" s="457"/>
      <c r="J78" s="453"/>
      <c r="K78" s="136"/>
    </row>
    <row r="79" spans="1:11" x14ac:dyDescent="0.25">
      <c r="A79" s="452" t="s">
        <v>7</v>
      </c>
      <c r="B79" s="453"/>
      <c r="C79" s="452" t="s">
        <v>12</v>
      </c>
      <c r="D79" s="453"/>
      <c r="E79" s="537">
        <v>7.5775182420245793E-2</v>
      </c>
      <c r="F79" s="457"/>
      <c r="G79" s="453"/>
      <c r="H79" s="456">
        <f>E79*(H75+E68+H47+E38+E12)</f>
        <v>223.91467297487037</v>
      </c>
      <c r="I79" s="457"/>
      <c r="J79" s="453"/>
      <c r="K79" s="136"/>
    </row>
    <row r="80" spans="1:11" x14ac:dyDescent="0.25">
      <c r="A80" s="318" t="s">
        <v>8</v>
      </c>
      <c r="B80" s="319"/>
      <c r="C80" s="320" t="s">
        <v>78</v>
      </c>
      <c r="D80" s="321"/>
      <c r="E80" s="578">
        <v>0.85750000000000004</v>
      </c>
      <c r="F80" s="579"/>
      <c r="G80" s="580"/>
      <c r="H80" s="450">
        <f>(H75+E68+H47+E38+E12)/E80</f>
        <v>3446.0488872581759</v>
      </c>
      <c r="I80" s="450"/>
      <c r="J80" s="450"/>
      <c r="K80" s="136"/>
    </row>
    <row r="81" spans="1:11" x14ac:dyDescent="0.25">
      <c r="A81" s="481" t="s">
        <v>9</v>
      </c>
      <c r="B81" s="481"/>
      <c r="C81" s="482" t="s">
        <v>79</v>
      </c>
      <c r="D81" s="483"/>
      <c r="E81" s="480">
        <v>1.6500000000000001E-2</v>
      </c>
      <c r="F81" s="480"/>
      <c r="G81" s="480"/>
      <c r="H81" s="450">
        <f>E81*D90</f>
        <v>51.286290000000008</v>
      </c>
      <c r="I81" s="450"/>
      <c r="J81" s="450"/>
      <c r="K81" s="136"/>
    </row>
    <row r="82" spans="1:11" x14ac:dyDescent="0.25">
      <c r="A82" s="481" t="s">
        <v>9</v>
      </c>
      <c r="B82" s="481"/>
      <c r="C82" s="482" t="s">
        <v>80</v>
      </c>
      <c r="D82" s="483"/>
      <c r="E82" s="480">
        <v>7.5999999999999998E-2</v>
      </c>
      <c r="F82" s="480"/>
      <c r="G82" s="480"/>
      <c r="H82" s="450">
        <f>E82*D90</f>
        <v>236.22776000000002</v>
      </c>
      <c r="I82" s="450"/>
      <c r="J82" s="450"/>
      <c r="K82" s="136"/>
    </row>
    <row r="83" spans="1:11" x14ac:dyDescent="0.25">
      <c r="A83" s="481" t="s">
        <v>10</v>
      </c>
      <c r="B83" s="481"/>
      <c r="C83" s="482" t="s">
        <v>81</v>
      </c>
      <c r="D83" s="483"/>
      <c r="E83" s="480"/>
      <c r="F83" s="480"/>
      <c r="G83" s="480"/>
      <c r="H83" s="450"/>
      <c r="I83" s="450"/>
      <c r="J83" s="450"/>
      <c r="K83" s="136"/>
    </row>
    <row r="84" spans="1:11" ht="15.75" thickBot="1" x14ac:dyDescent="0.3">
      <c r="A84" s="477" t="s">
        <v>11</v>
      </c>
      <c r="B84" s="477"/>
      <c r="C84" s="473" t="s">
        <v>110</v>
      </c>
      <c r="D84" s="474"/>
      <c r="E84" s="448">
        <v>0.05</v>
      </c>
      <c r="F84" s="448"/>
      <c r="G84" s="448"/>
      <c r="H84" s="449">
        <f>E84*D90</f>
        <v>155.41300000000001</v>
      </c>
      <c r="I84" s="449"/>
      <c r="J84" s="449"/>
      <c r="K84" s="136"/>
    </row>
    <row r="85" spans="1:11" ht="15.75" thickBot="1" x14ac:dyDescent="0.3">
      <c r="A85" s="570" t="s">
        <v>340</v>
      </c>
      <c r="B85" s="571"/>
      <c r="C85" s="571"/>
      <c r="D85" s="571"/>
      <c r="E85" s="571"/>
      <c r="F85" s="571"/>
      <c r="G85" s="572"/>
      <c r="H85" s="547">
        <f>H78+H79+H81+H82+H84</f>
        <v>873.69080743254244</v>
      </c>
      <c r="I85" s="485"/>
      <c r="J85" s="486"/>
      <c r="K85" s="136"/>
    </row>
    <row r="86" spans="1:11" ht="9" customHeight="1" thickBot="1" x14ac:dyDescent="0.3">
      <c r="E86" s="160"/>
      <c r="F86" s="160"/>
      <c r="G86" s="160"/>
      <c r="H86" s="161"/>
      <c r="I86" s="161"/>
      <c r="J86" s="161"/>
      <c r="K86" s="136"/>
    </row>
    <row r="87" spans="1:11" ht="15.75" thickBot="1" x14ac:dyDescent="0.3">
      <c r="A87" s="581" t="s">
        <v>85</v>
      </c>
      <c r="B87" s="582"/>
      <c r="C87" s="582"/>
      <c r="D87" s="582"/>
      <c r="E87" s="582"/>
      <c r="F87" s="582"/>
      <c r="G87" s="583"/>
      <c r="H87" s="722">
        <f>SUM(H85+H75+E68+H47+E38+E12)</f>
        <v>3828.6777282564281</v>
      </c>
      <c r="I87" s="723"/>
      <c r="J87" s="724"/>
      <c r="K87" s="136"/>
    </row>
    <row r="88" spans="1:11" hidden="1" x14ac:dyDescent="0.25">
      <c r="A88" s="136"/>
      <c r="B88" s="136"/>
      <c r="C88" s="136"/>
      <c r="D88" s="136"/>
      <c r="E88" s="136"/>
      <c r="F88" s="136"/>
      <c r="G88" s="136"/>
      <c r="H88" s="718">
        <v>9332.68</v>
      </c>
      <c r="I88" s="718"/>
      <c r="J88" s="718"/>
      <c r="K88" s="136"/>
    </row>
    <row r="90" spans="1:11" x14ac:dyDescent="0.25">
      <c r="D90" s="167">
        <v>3108.26</v>
      </c>
    </row>
  </sheetData>
  <mergeCells count="235">
    <mergeCell ref="A1:J1"/>
    <mergeCell ref="A2:C2"/>
    <mergeCell ref="D2:J2"/>
    <mergeCell ref="A3:J3"/>
    <mergeCell ref="A47:G47"/>
    <mergeCell ref="A85:G85"/>
    <mergeCell ref="A75:G75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35:B35"/>
    <mergeCell ref="C35:D35"/>
    <mergeCell ref="E35:G35"/>
    <mergeCell ref="H35:J35"/>
    <mergeCell ref="A36:B36"/>
    <mergeCell ref="C36:D36"/>
    <mergeCell ref="E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41:B41"/>
    <mergeCell ref="C41:D41"/>
    <mergeCell ref="H41:J41"/>
    <mergeCell ref="A42:B42"/>
    <mergeCell ref="C42:D42"/>
    <mergeCell ref="H42:J42"/>
    <mergeCell ref="A37:G37"/>
    <mergeCell ref="H37:J37"/>
    <mergeCell ref="A38:D38"/>
    <mergeCell ref="E38:J38"/>
    <mergeCell ref="A39:J39"/>
    <mergeCell ref="A40:J40"/>
    <mergeCell ref="A45:B45"/>
    <mergeCell ref="C45:D45"/>
    <mergeCell ref="E45:G45"/>
    <mergeCell ref="H45:J45"/>
    <mergeCell ref="A46:B46"/>
    <mergeCell ref="C46:D46"/>
    <mergeCell ref="E46:G46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51:B51"/>
    <mergeCell ref="C51:D51"/>
    <mergeCell ref="H51:J51"/>
    <mergeCell ref="A52:B52"/>
    <mergeCell ref="C52:D52"/>
    <mergeCell ref="E52:G52"/>
    <mergeCell ref="H52:J52"/>
    <mergeCell ref="H47:J47"/>
    <mergeCell ref="A49:J49"/>
    <mergeCell ref="A50:B50"/>
    <mergeCell ref="C50:D50"/>
    <mergeCell ref="H50:J50"/>
    <mergeCell ref="A55:B55"/>
    <mergeCell ref="C55:D55"/>
    <mergeCell ref="E55:G55"/>
    <mergeCell ref="H55:J55"/>
    <mergeCell ref="A56:B56"/>
    <mergeCell ref="C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60:B60"/>
    <mergeCell ref="C60:D60"/>
    <mergeCell ref="H60:J60"/>
    <mergeCell ref="A61:B61"/>
    <mergeCell ref="C61:D61"/>
    <mergeCell ref="E61:G61"/>
    <mergeCell ref="H61:J61"/>
    <mergeCell ref="A57:D57"/>
    <mergeCell ref="E57:G57"/>
    <mergeCell ref="H57:J57"/>
    <mergeCell ref="A58:J58"/>
    <mergeCell ref="A59:B59"/>
    <mergeCell ref="C59:D59"/>
    <mergeCell ref="H59:J59"/>
    <mergeCell ref="A64:J64"/>
    <mergeCell ref="A65:B65"/>
    <mergeCell ref="C65:D65"/>
    <mergeCell ref="H65:J65"/>
    <mergeCell ref="A66:B66"/>
    <mergeCell ref="C66:D66"/>
    <mergeCell ref="H66:J66"/>
    <mergeCell ref="A62:B62"/>
    <mergeCell ref="C62:D62"/>
    <mergeCell ref="E62:G62"/>
    <mergeCell ref="H62:J62"/>
    <mergeCell ref="A63:D63"/>
    <mergeCell ref="E63:G63"/>
    <mergeCell ref="H63:J63"/>
    <mergeCell ref="A71:B71"/>
    <mergeCell ref="C71:D71"/>
    <mergeCell ref="E71:G71"/>
    <mergeCell ref="H71:J71"/>
    <mergeCell ref="A72:B72"/>
    <mergeCell ref="C72:D72"/>
    <mergeCell ref="H72:J72"/>
    <mergeCell ref="A67:D67"/>
    <mergeCell ref="E67:G67"/>
    <mergeCell ref="H67:J67"/>
    <mergeCell ref="A68:D68"/>
    <mergeCell ref="E68:J68"/>
    <mergeCell ref="A70:J70"/>
    <mergeCell ref="H75:J75"/>
    <mergeCell ref="A77:J77"/>
    <mergeCell ref="A78:B78"/>
    <mergeCell ref="C78:D78"/>
    <mergeCell ref="E78:G78"/>
    <mergeCell ref="H78:J78"/>
    <mergeCell ref="A73:B73"/>
    <mergeCell ref="C73:D73"/>
    <mergeCell ref="E73:G73"/>
    <mergeCell ref="H73:J73"/>
    <mergeCell ref="A74:B74"/>
    <mergeCell ref="C74:D74"/>
    <mergeCell ref="E74:G74"/>
    <mergeCell ref="H74:J7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H85:J85"/>
    <mergeCell ref="A87:G87"/>
    <mergeCell ref="H87:J87"/>
    <mergeCell ref="H88:J88"/>
    <mergeCell ref="A83:B83"/>
    <mergeCell ref="C83:D83"/>
    <mergeCell ref="E83:G83"/>
    <mergeCell ref="H83:J83"/>
    <mergeCell ref="A84:B84"/>
    <mergeCell ref="C84:D84"/>
    <mergeCell ref="E84:G84"/>
    <mergeCell ref="H84:J84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6337778862885"/>
  </sheetPr>
  <dimension ref="A1:L87"/>
  <sheetViews>
    <sheetView view="pageBreakPreview" topLeftCell="A43" zoomScaleNormal="100" zoomScaleSheetLayoutView="100" workbookViewId="0">
      <selection activeCell="N46" sqref="N46"/>
    </sheetView>
  </sheetViews>
  <sheetFormatPr defaultRowHeight="15" x14ac:dyDescent="0.25"/>
  <cols>
    <col min="1" max="1" width="7.42578125" style="134" bestFit="1" customWidth="1"/>
    <col min="2" max="2" width="2" style="134" bestFit="1" customWidth="1"/>
    <col min="3" max="3" width="6.42578125" style="134" customWidth="1"/>
    <col min="4" max="4" width="45.7109375" style="134" customWidth="1"/>
    <col min="5" max="5" width="3.7109375" style="134" customWidth="1"/>
    <col min="6" max="6" width="2.5703125" style="134" customWidth="1"/>
    <col min="7" max="7" width="4" style="134" customWidth="1"/>
    <col min="8" max="8" width="5.5703125" style="134" customWidth="1"/>
    <col min="9" max="9" width="3.28515625" style="134" customWidth="1"/>
    <col min="10" max="10" width="3.14062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31.5" customHeight="1" thickBot="1" x14ac:dyDescent="0.3">
      <c r="A2" s="554" t="s">
        <v>0</v>
      </c>
      <c r="B2" s="555"/>
      <c r="C2" s="556"/>
      <c r="D2" s="737" t="s">
        <v>346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  <c r="L5" s="136"/>
    </row>
    <row r="6" spans="1:12" x14ac:dyDescent="0.25">
      <c r="A6" s="123" t="s">
        <v>2</v>
      </c>
      <c r="B6" s="606" t="s">
        <v>1</v>
      </c>
      <c r="C6" s="607"/>
      <c r="D6" s="608"/>
      <c r="E6" s="567">
        <v>1137.23</v>
      </c>
      <c r="F6" s="568"/>
      <c r="G6" s="568"/>
      <c r="H6" s="568"/>
      <c r="I6" s="568"/>
      <c r="J6" s="568"/>
      <c r="K6" s="136"/>
      <c r="L6" s="136"/>
    </row>
    <row r="7" spans="1:12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36"/>
      <c r="L7" s="136"/>
    </row>
    <row r="8" spans="1:12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36"/>
      <c r="L8" s="136"/>
    </row>
    <row r="9" spans="1:12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36"/>
      <c r="L9" s="136"/>
    </row>
    <row r="10" spans="1:12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36"/>
      <c r="L10" s="136"/>
    </row>
    <row r="11" spans="1:12" ht="32.25" customHeight="1" thickBot="1" x14ac:dyDescent="0.3">
      <c r="A11" s="125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36"/>
      <c r="L11" s="136"/>
    </row>
    <row r="12" spans="1:12" ht="15.75" thickBot="1" x14ac:dyDescent="0.3">
      <c r="A12" s="500" t="s">
        <v>330</v>
      </c>
      <c r="B12" s="501"/>
      <c r="C12" s="501"/>
      <c r="D12" s="733"/>
      <c r="E12" s="734">
        <f>SUM(E6:J11)</f>
        <v>1137.23</v>
      </c>
      <c r="F12" s="735"/>
      <c r="G12" s="735"/>
      <c r="H12" s="735"/>
      <c r="I12" s="735"/>
      <c r="J12" s="736"/>
      <c r="K12" s="136"/>
      <c r="L12" s="136"/>
    </row>
    <row r="13" spans="1:12" ht="29.25" customHeight="1" x14ac:dyDescent="0.25">
      <c r="A13" s="551" t="s">
        <v>29</v>
      </c>
      <c r="B13" s="715"/>
      <c r="C13" s="715"/>
      <c r="D13" s="716"/>
      <c r="E13" s="548">
        <f>E12*E30</f>
        <v>418.50064000000009</v>
      </c>
      <c r="F13" s="549"/>
      <c r="G13" s="549"/>
      <c r="H13" s="549"/>
      <c r="I13" s="549"/>
      <c r="J13" s="550"/>
      <c r="K13" s="136"/>
      <c r="L13" s="136"/>
    </row>
    <row r="14" spans="1:12" ht="9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  <c r="L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345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3" t="s">
        <v>2</v>
      </c>
      <c r="B17" s="532" t="s">
        <v>34</v>
      </c>
      <c r="C17" s="726"/>
      <c r="D17" s="533"/>
      <c r="E17" s="727">
        <v>8.3299999999999999E-2</v>
      </c>
      <c r="F17" s="728"/>
      <c r="G17" s="729"/>
      <c r="H17" s="450">
        <f>E17*E12</f>
        <v>94.731258999999994</v>
      </c>
      <c r="I17" s="450"/>
      <c r="J17" s="450"/>
      <c r="K17" s="136"/>
      <c r="L17" s="136"/>
    </row>
    <row r="18" spans="1:12" x14ac:dyDescent="0.25">
      <c r="A18" s="123" t="s">
        <v>7</v>
      </c>
      <c r="B18" s="532" t="s">
        <v>35</v>
      </c>
      <c r="C18" s="726"/>
      <c r="D18" s="533"/>
      <c r="E18" s="692">
        <v>0.121</v>
      </c>
      <c r="F18" s="693"/>
      <c r="G18" s="694"/>
      <c r="H18" s="450">
        <f>E18*E12</f>
        <v>137.60482999999999</v>
      </c>
      <c r="I18" s="450"/>
      <c r="J18" s="450"/>
      <c r="K18" s="136"/>
      <c r="L18" s="136"/>
    </row>
    <row r="19" spans="1:12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232.33608899999999</v>
      </c>
      <c r="I19" s="525"/>
      <c r="J19" s="525"/>
      <c r="K19" s="136"/>
      <c r="L19" s="136"/>
    </row>
    <row r="20" spans="1:12" ht="27.75" customHeight="1" thickBot="1" x14ac:dyDescent="0.3">
      <c r="A20" s="123" t="s">
        <v>8</v>
      </c>
      <c r="B20" s="478" t="s">
        <v>37</v>
      </c>
      <c r="C20" s="691"/>
      <c r="D20" s="479"/>
      <c r="E20" s="692">
        <v>7.8200000000000006E-2</v>
      </c>
      <c r="F20" s="693"/>
      <c r="G20" s="694"/>
      <c r="H20" s="290">
        <f>E12*E20</f>
        <v>88.931386000000003</v>
      </c>
      <c r="I20" s="291"/>
      <c r="J20" s="292"/>
      <c r="K20" s="136"/>
      <c r="L20" s="136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273.91321779999998</v>
      </c>
      <c r="I22" s="450"/>
      <c r="J22" s="450"/>
      <c r="K22" s="136"/>
      <c r="L22" s="136"/>
    </row>
    <row r="23" spans="1:12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34.239152224999998</v>
      </c>
      <c r="I23" s="450"/>
      <c r="J23" s="450"/>
      <c r="K23" s="136"/>
      <c r="L23" s="136"/>
    </row>
    <row r="24" spans="1:12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41.086982669999998</v>
      </c>
      <c r="I24" s="450"/>
      <c r="J24" s="450"/>
      <c r="K24" s="136"/>
      <c r="L24" s="136"/>
    </row>
    <row r="25" spans="1:12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20.543491334999999</v>
      </c>
      <c r="I25" s="450"/>
      <c r="J25" s="450"/>
      <c r="K25" s="136"/>
      <c r="L25" s="136"/>
    </row>
    <row r="26" spans="1:12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13.695660889999999</v>
      </c>
      <c r="I26" s="450"/>
      <c r="J26" s="450"/>
      <c r="K26" s="136"/>
      <c r="L26" s="136"/>
    </row>
    <row r="27" spans="1:12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8.2173965339999988</v>
      </c>
      <c r="I27" s="450"/>
      <c r="J27" s="450"/>
      <c r="K27" s="136"/>
      <c r="L27" s="136"/>
    </row>
    <row r="28" spans="1:12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2.7391321779999998</v>
      </c>
      <c r="I28" s="450"/>
      <c r="J28" s="450"/>
      <c r="K28" s="136"/>
      <c r="L28" s="136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109.56528711999999</v>
      </c>
      <c r="I29" s="450"/>
      <c r="J29" s="450"/>
      <c r="K29" s="136"/>
      <c r="L29" s="136"/>
    </row>
    <row r="30" spans="1:12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504.00032075199994</v>
      </c>
      <c r="I30" s="592"/>
      <c r="J30" s="592"/>
      <c r="K30" s="136"/>
      <c r="L30" s="136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(3.9*2*25.5)-6%*E6</f>
        <v>130.6662</v>
      </c>
      <c r="I32" s="450"/>
      <c r="J32" s="450"/>
      <c r="K32" s="136"/>
      <c r="L32" s="136"/>
    </row>
    <row r="33" spans="1:12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(21.63*25.5)-20%</f>
        <v>551.3649999999999</v>
      </c>
      <c r="I33" s="450"/>
      <c r="J33" s="450"/>
      <c r="K33" s="136"/>
      <c r="L33" s="136"/>
    </row>
    <row r="34" spans="1:12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36"/>
      <c r="L34" s="136"/>
    </row>
    <row r="35" spans="1:12" x14ac:dyDescent="0.25">
      <c r="A35" s="482" t="s">
        <v>9</v>
      </c>
      <c r="B35" s="483"/>
      <c r="C35" s="478" t="s">
        <v>28</v>
      </c>
      <c r="D35" s="479"/>
      <c r="E35" s="497"/>
      <c r="F35" s="497"/>
      <c r="G35" s="497"/>
      <c r="H35" s="450">
        <v>25.95</v>
      </c>
      <c r="I35" s="450"/>
      <c r="J35" s="450"/>
      <c r="K35" s="136"/>
      <c r="L35" s="136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744.55119999999999</v>
      </c>
      <c r="I36" s="451"/>
      <c r="J36" s="451"/>
      <c r="K36" s="136"/>
      <c r="L36" s="136"/>
    </row>
    <row r="37" spans="1:12" ht="15.75" thickBot="1" x14ac:dyDescent="0.3">
      <c r="A37" s="458" t="s">
        <v>72</v>
      </c>
      <c r="B37" s="459"/>
      <c r="C37" s="459"/>
      <c r="D37" s="725"/>
      <c r="E37" s="587">
        <f>H19+H30+H36</f>
        <v>1480.8876097519999</v>
      </c>
      <c r="F37" s="498"/>
      <c r="G37" s="498"/>
      <c r="H37" s="498"/>
      <c r="I37" s="498"/>
      <c r="J37" s="499"/>
      <c r="K37" s="136"/>
      <c r="L37" s="136"/>
    </row>
    <row r="38" spans="1:12" ht="10.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  <c r="L38" s="136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2" t="s">
        <v>2</v>
      </c>
      <c r="B40" s="453"/>
      <c r="C40" s="452" t="s">
        <v>51</v>
      </c>
      <c r="D40" s="453"/>
      <c r="E40" s="157"/>
      <c r="F40" s="158"/>
      <c r="G40" s="159"/>
      <c r="H40" s="456">
        <f>E12/12*5%</f>
        <v>4.738458333333333</v>
      </c>
      <c r="I40" s="457"/>
      <c r="J40" s="453"/>
      <c r="K40" s="136"/>
      <c r="L40" s="136"/>
    </row>
    <row r="41" spans="1:12" x14ac:dyDescent="0.25">
      <c r="A41" s="452" t="s">
        <v>7</v>
      </c>
      <c r="B41" s="453"/>
      <c r="C41" s="452" t="s">
        <v>52</v>
      </c>
      <c r="D41" s="453"/>
      <c r="E41" s="157"/>
      <c r="F41" s="158"/>
      <c r="G41" s="159"/>
      <c r="H41" s="456">
        <f>H40*8%</f>
        <v>0.37907666666666667</v>
      </c>
      <c r="I41" s="457"/>
      <c r="J41" s="453"/>
      <c r="K41" s="136"/>
      <c r="L41" s="136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  <c r="L42" s="136"/>
    </row>
    <row r="43" spans="1:12" x14ac:dyDescent="0.25">
      <c r="A43" s="481" t="s">
        <v>9</v>
      </c>
      <c r="B43" s="481"/>
      <c r="C43" s="482" t="s">
        <v>54</v>
      </c>
      <c r="D43" s="483"/>
      <c r="E43" s="480"/>
      <c r="F43" s="480"/>
      <c r="G43" s="480"/>
      <c r="H43" s="450">
        <f>E12/30/12*7*100%</f>
        <v>22.112805555555553</v>
      </c>
      <c r="I43" s="450"/>
      <c r="J43" s="450"/>
      <c r="K43" s="136"/>
      <c r="L43" s="136"/>
    </row>
    <row r="44" spans="1:12" ht="30.75" customHeight="1" x14ac:dyDescent="0.25">
      <c r="A44" s="481" t="s">
        <v>10</v>
      </c>
      <c r="B44" s="481"/>
      <c r="C44" s="478" t="s">
        <v>83</v>
      </c>
      <c r="D44" s="479"/>
      <c r="E44" s="480"/>
      <c r="F44" s="480"/>
      <c r="G44" s="480"/>
      <c r="H44" s="450">
        <f>H43*39.8%</f>
        <v>8.80089661111111</v>
      </c>
      <c r="I44" s="450"/>
      <c r="J44" s="450"/>
      <c r="K44" s="136"/>
      <c r="L44" s="136"/>
    </row>
    <row r="45" spans="1:12" ht="30.75" customHeight="1" thickBot="1" x14ac:dyDescent="0.3">
      <c r="A45" s="473" t="s">
        <v>11</v>
      </c>
      <c r="B45" s="474"/>
      <c r="C45" s="475" t="s">
        <v>53</v>
      </c>
      <c r="D45" s="476"/>
      <c r="E45" s="467"/>
      <c r="F45" s="468"/>
      <c r="G45" s="469"/>
      <c r="H45" s="470">
        <f>E12*5%</f>
        <v>56.861500000000007</v>
      </c>
      <c r="I45" s="471"/>
      <c r="J45" s="472"/>
      <c r="K45" s="136"/>
      <c r="L45" s="136"/>
    </row>
    <row r="46" spans="1:12" ht="15.75" thickBot="1" x14ac:dyDescent="0.3">
      <c r="A46" s="458" t="s">
        <v>333</v>
      </c>
      <c r="B46" s="459"/>
      <c r="C46" s="459"/>
      <c r="D46" s="725"/>
      <c r="E46" s="730"/>
      <c r="F46" s="731"/>
      <c r="G46" s="732"/>
      <c r="H46" s="484">
        <f>SUM(H40:J45)</f>
        <v>92.892737166666677</v>
      </c>
      <c r="I46" s="485"/>
      <c r="J46" s="486"/>
      <c r="K46" s="136"/>
      <c r="L46" s="136"/>
    </row>
    <row r="47" spans="1:12" ht="9" customHeight="1" thickBot="1" x14ac:dyDescent="0.3">
      <c r="E47" s="160"/>
      <c r="F47" s="160"/>
      <c r="G47" s="160"/>
      <c r="H47" s="161"/>
      <c r="I47" s="161"/>
      <c r="J47" s="161"/>
      <c r="K47" s="136"/>
      <c r="L47" s="136"/>
    </row>
    <row r="48" spans="1:12" ht="30" customHeight="1" thickBot="1" x14ac:dyDescent="0.3">
      <c r="A48" s="494" t="s">
        <v>317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2" t="s">
        <v>2</v>
      </c>
      <c r="B49" s="453"/>
      <c r="C49" s="452" t="s">
        <v>56</v>
      </c>
      <c r="D49" s="453"/>
      <c r="E49" s="157"/>
      <c r="F49" s="158"/>
      <c r="G49" s="159"/>
      <c r="H49" s="456">
        <f>E20/12*5%</f>
        <v>3.2583333333333336E-4</v>
      </c>
      <c r="I49" s="457"/>
      <c r="J49" s="453"/>
      <c r="K49" s="136"/>
      <c r="L49" s="136"/>
    </row>
    <row r="50" spans="1:12" x14ac:dyDescent="0.25">
      <c r="A50" s="452" t="s">
        <v>7</v>
      </c>
      <c r="B50" s="453"/>
      <c r="C50" s="452" t="s">
        <v>57</v>
      </c>
      <c r="D50" s="453"/>
      <c r="E50" s="157"/>
      <c r="F50" s="158"/>
      <c r="G50" s="159"/>
      <c r="H50" s="456">
        <f>E12/30/12</f>
        <v>3.1589722222222218</v>
      </c>
      <c r="I50" s="457"/>
      <c r="J50" s="453"/>
      <c r="K50" s="136"/>
      <c r="L50" s="136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0.23692291666666662</v>
      </c>
      <c r="I51" s="450"/>
      <c r="J51" s="450"/>
      <c r="K51" s="136"/>
      <c r="L51" s="136"/>
    </row>
    <row r="52" spans="1:12" ht="30" customHeight="1" x14ac:dyDescent="0.25">
      <c r="A52" s="481" t="s">
        <v>9</v>
      </c>
      <c r="B52" s="481"/>
      <c r="C52" s="284" t="s">
        <v>59</v>
      </c>
      <c r="D52" s="286"/>
      <c r="E52" s="480"/>
      <c r="F52" s="480"/>
      <c r="G52" s="480"/>
      <c r="H52" s="450">
        <f>E12/30/12*15*8%</f>
        <v>3.790766666666666</v>
      </c>
      <c r="I52" s="450"/>
      <c r="J52" s="450"/>
      <c r="K52" s="136"/>
      <c r="L52" s="136"/>
    </row>
    <row r="53" spans="1:12" x14ac:dyDescent="0.25">
      <c r="A53" s="481" t="s">
        <v>10</v>
      </c>
      <c r="B53" s="481"/>
      <c r="C53" s="478" t="s">
        <v>60</v>
      </c>
      <c r="D53" s="479"/>
      <c r="E53" s="480"/>
      <c r="F53" s="480"/>
      <c r="G53" s="480"/>
      <c r="H53" s="450">
        <f>E20*5%</f>
        <v>3.9100000000000003E-3</v>
      </c>
      <c r="I53" s="450"/>
      <c r="J53" s="450"/>
      <c r="K53" s="136"/>
      <c r="L53" s="136"/>
    </row>
    <row r="54" spans="1:12" x14ac:dyDescent="0.25">
      <c r="A54" s="481" t="s">
        <v>11</v>
      </c>
      <c r="B54" s="481"/>
      <c r="C54" s="478" t="s">
        <v>61</v>
      </c>
      <c r="D54" s="479"/>
      <c r="E54" s="480"/>
      <c r="F54" s="480"/>
      <c r="G54" s="480"/>
      <c r="H54" s="450">
        <f>E12/30/12*5*40%</f>
        <v>6.3179444444444437</v>
      </c>
      <c r="I54" s="450"/>
      <c r="J54" s="450"/>
      <c r="K54" s="136"/>
      <c r="L54" s="136"/>
    </row>
    <row r="55" spans="1:12" ht="30" customHeight="1" x14ac:dyDescent="0.25">
      <c r="A55" s="481" t="s">
        <v>39</v>
      </c>
      <c r="B55" s="481"/>
      <c r="C55" s="478" t="s">
        <v>62</v>
      </c>
      <c r="D55" s="479"/>
      <c r="E55" s="480"/>
      <c r="F55" s="480"/>
      <c r="G55" s="480"/>
      <c r="H55" s="450">
        <f>SUM(H49:J54)*39.8%</f>
        <v>5.3765191491666648</v>
      </c>
      <c r="I55" s="450"/>
      <c r="J55" s="450"/>
      <c r="K55" s="136"/>
      <c r="L55" s="136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18.885361232499996</v>
      </c>
      <c r="I56" s="592"/>
      <c r="J56" s="592"/>
      <c r="K56" s="136"/>
      <c r="L56" s="136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2.25" customHeight="1" x14ac:dyDescent="0.25">
      <c r="A58" s="452" t="s">
        <v>2</v>
      </c>
      <c r="B58" s="453"/>
      <c r="C58" s="454" t="s">
        <v>64</v>
      </c>
      <c r="D58" s="455"/>
      <c r="E58" s="157"/>
      <c r="F58" s="158"/>
      <c r="G58" s="159"/>
      <c r="H58" s="456">
        <f>((((E12+(E12/3))*0.3333)/12)*2%)</f>
        <v>0.84230835333333332</v>
      </c>
      <c r="I58" s="457"/>
      <c r="J58" s="453"/>
      <c r="K58" s="136"/>
      <c r="L58" s="136"/>
    </row>
    <row r="59" spans="1:12" ht="46.5" customHeight="1" x14ac:dyDescent="0.25">
      <c r="A59" s="452" t="s">
        <v>7</v>
      </c>
      <c r="B59" s="453"/>
      <c r="C59" s="454" t="s">
        <v>65</v>
      </c>
      <c r="D59" s="455"/>
      <c r="E59" s="157"/>
      <c r="F59" s="158"/>
      <c r="G59" s="159"/>
      <c r="H59" s="456">
        <f>H58*39.8%</f>
        <v>0.33523872462666665</v>
      </c>
      <c r="I59" s="457"/>
      <c r="J59" s="453"/>
      <c r="K59" s="136"/>
      <c r="L59" s="136"/>
    </row>
    <row r="60" spans="1:12" ht="45.7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3.2655350700061194</v>
      </c>
      <c r="I60" s="450"/>
      <c r="J60" s="450"/>
      <c r="K60" s="136"/>
      <c r="L60" s="136"/>
    </row>
    <row r="61" spans="1:12" x14ac:dyDescent="0.25">
      <c r="A61" s="481" t="s">
        <v>9</v>
      </c>
      <c r="B61" s="481"/>
      <c r="C61" s="482" t="s">
        <v>67</v>
      </c>
      <c r="D61" s="483"/>
      <c r="E61" s="480"/>
      <c r="F61" s="480"/>
      <c r="G61" s="480"/>
      <c r="H61" s="450"/>
      <c r="I61" s="450"/>
      <c r="J61" s="450"/>
      <c r="K61" s="136"/>
      <c r="L61" s="136"/>
    </row>
    <row r="62" spans="1:12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4.4430821479661198</v>
      </c>
      <c r="I62" s="592"/>
      <c r="J62" s="592"/>
      <c r="K62" s="136"/>
      <c r="L62" s="136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3" customHeight="1" x14ac:dyDescent="0.25">
      <c r="A64" s="452" t="s">
        <v>2</v>
      </c>
      <c r="B64" s="453"/>
      <c r="C64" s="454" t="s">
        <v>69</v>
      </c>
      <c r="D64" s="455"/>
      <c r="E64" s="157"/>
      <c r="F64" s="158"/>
      <c r="G64" s="159"/>
      <c r="H64" s="456">
        <f>((((E18+(E18/3))*0.3333)/12)*2%)</f>
        <v>8.9620666666666654E-5</v>
      </c>
      <c r="I64" s="457"/>
      <c r="J64" s="453"/>
      <c r="K64" s="136"/>
      <c r="L64" s="136"/>
    </row>
    <row r="65" spans="1:12" ht="29.25" customHeight="1" x14ac:dyDescent="0.25">
      <c r="A65" s="452" t="s">
        <v>7</v>
      </c>
      <c r="B65" s="453"/>
      <c r="C65" s="454" t="s">
        <v>70</v>
      </c>
      <c r="D65" s="455"/>
      <c r="E65" s="157"/>
      <c r="F65" s="158"/>
      <c r="G65" s="159"/>
      <c r="H65" s="456">
        <f>H64*39.8%</f>
        <v>3.5669025333333325E-5</v>
      </c>
      <c r="I65" s="457"/>
      <c r="J65" s="453"/>
      <c r="K65" s="136"/>
      <c r="L65" s="136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  <c r="L66" s="136"/>
    </row>
    <row r="67" spans="1:12" ht="15.75" thickBot="1" x14ac:dyDescent="0.3">
      <c r="A67" s="458" t="s">
        <v>71</v>
      </c>
      <c r="B67" s="459"/>
      <c r="C67" s="459"/>
      <c r="D67" s="725"/>
      <c r="E67" s="587">
        <f>H66+H62+H56</f>
        <v>23.328568670158116</v>
      </c>
      <c r="F67" s="498"/>
      <c r="G67" s="498"/>
      <c r="H67" s="498"/>
      <c r="I67" s="498"/>
      <c r="J67" s="499"/>
      <c r="K67" s="136"/>
      <c r="L67" s="136"/>
    </row>
    <row r="68" spans="1:12" ht="10.5" customHeight="1" thickBot="1" x14ac:dyDescent="0.3">
      <c r="A68" s="135"/>
      <c r="B68" s="135"/>
      <c r="C68" s="135"/>
      <c r="D68" s="135"/>
      <c r="E68" s="135"/>
      <c r="F68" s="135"/>
      <c r="G68" s="135"/>
      <c r="H68" s="135"/>
      <c r="I68" s="135"/>
      <c r="J68" s="135"/>
      <c r="K68" s="136"/>
      <c r="L68" s="136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2" t="s">
        <v>2</v>
      </c>
      <c r="B70" s="453"/>
      <c r="C70" s="452" t="s">
        <v>74</v>
      </c>
      <c r="D70" s="453"/>
      <c r="E70" s="452"/>
      <c r="F70" s="457"/>
      <c r="G70" s="453"/>
      <c r="H70" s="456">
        <v>300</v>
      </c>
      <c r="I70" s="457"/>
      <c r="J70" s="453"/>
      <c r="K70" s="136"/>
      <c r="L70" s="136"/>
    </row>
    <row r="71" spans="1:12" x14ac:dyDescent="0.25">
      <c r="A71" s="452" t="s">
        <v>7</v>
      </c>
      <c r="B71" s="453"/>
      <c r="C71" s="452" t="s">
        <v>75</v>
      </c>
      <c r="D71" s="453"/>
      <c r="E71" s="157"/>
      <c r="F71" s="158"/>
      <c r="G71" s="159"/>
      <c r="H71" s="456">
        <v>5</v>
      </c>
      <c r="I71" s="457"/>
      <c r="J71" s="453"/>
      <c r="K71" s="136"/>
      <c r="L71" s="136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43.5</v>
      </c>
      <c r="I72" s="450"/>
      <c r="J72" s="450"/>
      <c r="K72" s="136"/>
      <c r="L72" s="136"/>
    </row>
    <row r="73" spans="1:12" ht="15.75" thickBot="1" x14ac:dyDescent="0.3">
      <c r="A73" s="477" t="s">
        <v>9</v>
      </c>
      <c r="B73" s="477"/>
      <c r="C73" s="473" t="s">
        <v>28</v>
      </c>
      <c r="D73" s="474"/>
      <c r="E73" s="448"/>
      <c r="F73" s="448"/>
      <c r="G73" s="448"/>
      <c r="H73" s="449">
        <v>5</v>
      </c>
      <c r="I73" s="449"/>
      <c r="J73" s="449"/>
      <c r="K73" s="136"/>
      <c r="L73" s="136"/>
    </row>
    <row r="74" spans="1:12" ht="15.75" thickBot="1" x14ac:dyDescent="0.3">
      <c r="A74" s="570" t="s">
        <v>336</v>
      </c>
      <c r="B74" s="571"/>
      <c r="C74" s="571"/>
      <c r="D74" s="571"/>
      <c r="E74" s="571"/>
      <c r="F74" s="571"/>
      <c r="G74" s="572"/>
      <c r="H74" s="547">
        <f>SUM(H70:J73)</f>
        <v>353.5</v>
      </c>
      <c r="I74" s="485"/>
      <c r="J74" s="486"/>
      <c r="K74" s="136"/>
      <c r="L74" s="136"/>
    </row>
    <row r="75" spans="1:12" ht="7.5" customHeight="1" thickBot="1" x14ac:dyDescent="0.3">
      <c r="E75" s="160"/>
      <c r="F75" s="160"/>
      <c r="G75" s="160"/>
      <c r="H75" s="161"/>
      <c r="I75" s="161"/>
      <c r="J75" s="161"/>
      <c r="K75" s="136"/>
      <c r="L75" s="136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2" t="s">
        <v>2</v>
      </c>
      <c r="B77" s="453"/>
      <c r="C77" s="452" t="s">
        <v>77</v>
      </c>
      <c r="D77" s="453"/>
      <c r="E77" s="537">
        <v>7.0000000000000007E-2</v>
      </c>
      <c r="F77" s="457"/>
      <c r="G77" s="453"/>
      <c r="H77" s="456">
        <f>(H74+E67+H46+E37+E12)*E77</f>
        <v>216.14872409121773</v>
      </c>
      <c r="I77" s="457"/>
      <c r="J77" s="453"/>
      <c r="K77" s="136"/>
      <c r="L77" s="136"/>
    </row>
    <row r="78" spans="1:12" x14ac:dyDescent="0.25">
      <c r="A78" s="452" t="s">
        <v>7</v>
      </c>
      <c r="B78" s="453"/>
      <c r="C78" s="452" t="s">
        <v>12</v>
      </c>
      <c r="D78" s="453"/>
      <c r="E78" s="537">
        <v>7.5774185115783349E-2</v>
      </c>
      <c r="F78" s="457"/>
      <c r="G78" s="453"/>
      <c r="H78" s="456">
        <f>E78*(H74+E67+H46+E37+E12)</f>
        <v>233.97847759754728</v>
      </c>
      <c r="I78" s="457"/>
      <c r="J78" s="453"/>
      <c r="K78" s="136"/>
      <c r="L78" s="136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450">
        <f>(H74+E67+H46+E37+E12)/E79</f>
        <v>3600.9783272172876</v>
      </c>
      <c r="I79" s="450"/>
      <c r="J79" s="450"/>
      <c r="K79" s="136"/>
      <c r="L79" s="136"/>
    </row>
    <row r="80" spans="1:12" x14ac:dyDescent="0.25">
      <c r="A80" s="481" t="s">
        <v>9</v>
      </c>
      <c r="B80" s="481"/>
      <c r="C80" s="482" t="s">
        <v>79</v>
      </c>
      <c r="D80" s="483"/>
      <c r="E80" s="480">
        <v>1.6500000000000001E-2</v>
      </c>
      <c r="F80" s="480"/>
      <c r="G80" s="480"/>
      <c r="H80" s="450">
        <f>E80*H87</f>
        <v>54.550980000000003</v>
      </c>
      <c r="I80" s="450"/>
      <c r="J80" s="450"/>
      <c r="K80" s="136"/>
      <c r="L80" s="136"/>
    </row>
    <row r="81" spans="1:12" x14ac:dyDescent="0.25">
      <c r="A81" s="481" t="s">
        <v>9</v>
      </c>
      <c r="B81" s="481"/>
      <c r="C81" s="482" t="s">
        <v>80</v>
      </c>
      <c r="D81" s="483"/>
      <c r="E81" s="480">
        <v>7.5999999999999998E-2</v>
      </c>
      <c r="F81" s="480"/>
      <c r="G81" s="480"/>
      <c r="H81" s="450">
        <f>E81*H87</f>
        <v>251.26512</v>
      </c>
      <c r="I81" s="450"/>
      <c r="J81" s="450"/>
      <c r="K81" s="136"/>
      <c r="L81" s="136"/>
    </row>
    <row r="82" spans="1:12" x14ac:dyDescent="0.25">
      <c r="A82" s="481" t="s">
        <v>10</v>
      </c>
      <c r="B82" s="481"/>
      <c r="C82" s="482" t="s">
        <v>81</v>
      </c>
      <c r="D82" s="483"/>
      <c r="E82" s="480"/>
      <c r="F82" s="480"/>
      <c r="G82" s="480"/>
      <c r="H82" s="450"/>
      <c r="I82" s="450"/>
      <c r="J82" s="450"/>
      <c r="K82" s="136"/>
      <c r="L82" s="136"/>
    </row>
    <row r="83" spans="1:12" ht="15.75" thickBot="1" x14ac:dyDescent="0.3">
      <c r="A83" s="477" t="s">
        <v>11</v>
      </c>
      <c r="B83" s="477"/>
      <c r="C83" s="473" t="s">
        <v>82</v>
      </c>
      <c r="D83" s="474"/>
      <c r="E83" s="448">
        <v>0.05</v>
      </c>
      <c r="F83" s="448"/>
      <c r="G83" s="448"/>
      <c r="H83" s="449">
        <f>E83*H87</f>
        <v>165.30600000000001</v>
      </c>
      <c r="I83" s="449"/>
      <c r="J83" s="449"/>
      <c r="K83" s="136"/>
      <c r="L83" s="136"/>
    </row>
    <row r="84" spans="1:12" ht="15.75" thickBot="1" x14ac:dyDescent="0.3">
      <c r="A84" s="570" t="s">
        <v>340</v>
      </c>
      <c r="B84" s="571"/>
      <c r="C84" s="571"/>
      <c r="D84" s="571"/>
      <c r="E84" s="571"/>
      <c r="F84" s="571"/>
      <c r="G84" s="572"/>
      <c r="H84" s="547">
        <f>H77+H78+H80+H81+H83</f>
        <v>921.24930168876506</v>
      </c>
      <c r="I84" s="485"/>
      <c r="J84" s="486"/>
      <c r="K84" s="136"/>
      <c r="L84" s="136"/>
    </row>
    <row r="85" spans="1:12" ht="10.5" customHeight="1" thickBot="1" x14ac:dyDescent="0.3">
      <c r="E85" s="160"/>
      <c r="F85" s="160"/>
      <c r="G85" s="160"/>
      <c r="H85" s="161"/>
      <c r="I85" s="161"/>
      <c r="J85" s="161"/>
      <c r="K85" s="136"/>
      <c r="L85" s="136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722">
        <f>SUM(H84+H74+E67+H46+E37+E12)</f>
        <v>4009.0882172775896</v>
      </c>
      <c r="I86" s="723"/>
      <c r="J86" s="724"/>
    </row>
    <row r="87" spans="1:12" ht="15.75" thickBot="1" x14ac:dyDescent="0.3">
      <c r="H87" s="162">
        <v>3306.12</v>
      </c>
      <c r="I87" s="162"/>
      <c r="J87" s="162"/>
    </row>
  </sheetData>
  <mergeCells count="231">
    <mergeCell ref="A1:J1"/>
    <mergeCell ref="A84:G84"/>
    <mergeCell ref="A74:G74"/>
    <mergeCell ref="H84:J84"/>
    <mergeCell ref="A86:G86"/>
    <mergeCell ref="H86:J86"/>
    <mergeCell ref="A81:B81"/>
    <mergeCell ref="C81:D81"/>
    <mergeCell ref="E81:G81"/>
    <mergeCell ref="H81:J81"/>
    <mergeCell ref="A82:B82"/>
    <mergeCell ref="C82:D82"/>
    <mergeCell ref="E82:G82"/>
    <mergeCell ref="H82:J82"/>
    <mergeCell ref="A83:B83"/>
    <mergeCell ref="C83:D83"/>
    <mergeCell ref="E83:G83"/>
    <mergeCell ref="H83:J83"/>
    <mergeCell ref="A78:B78"/>
    <mergeCell ref="C78:D78"/>
    <mergeCell ref="A79:B79"/>
    <mergeCell ref="C79:D79"/>
    <mergeCell ref="E79:G79"/>
    <mergeCell ref="H79:J79"/>
    <mergeCell ref="A80:B80"/>
    <mergeCell ref="C80:D80"/>
    <mergeCell ref="E80:G80"/>
    <mergeCell ref="H80:J80"/>
    <mergeCell ref="E78:G78"/>
    <mergeCell ref="H78:J78"/>
    <mergeCell ref="A73:B73"/>
    <mergeCell ref="C73:D73"/>
    <mergeCell ref="E73:G73"/>
    <mergeCell ref="H73:J73"/>
    <mergeCell ref="A76:J76"/>
    <mergeCell ref="A77:B77"/>
    <mergeCell ref="C77:D77"/>
    <mergeCell ref="E77:G77"/>
    <mergeCell ref="H77:J77"/>
    <mergeCell ref="H74:J74"/>
    <mergeCell ref="A65:B65"/>
    <mergeCell ref="C65:D65"/>
    <mergeCell ref="H65:J65"/>
    <mergeCell ref="A66:D66"/>
    <mergeCell ref="A67:D67"/>
    <mergeCell ref="E67:J67"/>
    <mergeCell ref="A69:J69"/>
    <mergeCell ref="A72:B72"/>
    <mergeCell ref="C72:D72"/>
    <mergeCell ref="A71:B71"/>
    <mergeCell ref="C71:D71"/>
    <mergeCell ref="H71:J71"/>
    <mergeCell ref="E72:G72"/>
    <mergeCell ref="H72:J72"/>
    <mergeCell ref="A70:B70"/>
    <mergeCell ref="C70:D70"/>
    <mergeCell ref="E70:G70"/>
    <mergeCell ref="H70:J70"/>
    <mergeCell ref="E66:G66"/>
    <mergeCell ref="H66:J66"/>
    <mergeCell ref="A53:B53"/>
    <mergeCell ref="C53:D53"/>
    <mergeCell ref="E53:G53"/>
    <mergeCell ref="H53:J53"/>
    <mergeCell ref="A54:B54"/>
    <mergeCell ref="C54:D54"/>
    <mergeCell ref="A55:B55"/>
    <mergeCell ref="C55:D55"/>
    <mergeCell ref="E55:G55"/>
    <mergeCell ref="H55:J55"/>
    <mergeCell ref="E54:G54"/>
    <mergeCell ref="H54:J54"/>
    <mergeCell ref="A38:J38"/>
    <mergeCell ref="A40:B40"/>
    <mergeCell ref="A41:B41"/>
    <mergeCell ref="C41:D41"/>
    <mergeCell ref="A42:B42"/>
    <mergeCell ref="C42:D42"/>
    <mergeCell ref="E42:G42"/>
    <mergeCell ref="H42:J42"/>
    <mergeCell ref="A43:B43"/>
    <mergeCell ref="C43:D43"/>
    <mergeCell ref="E43:G43"/>
    <mergeCell ref="H43:J43"/>
    <mergeCell ref="A27:B27"/>
    <mergeCell ref="A28:B28"/>
    <mergeCell ref="A29:B29"/>
    <mergeCell ref="A31:J31"/>
    <mergeCell ref="A32:B32"/>
    <mergeCell ref="C32:D32"/>
    <mergeCell ref="E32:G32"/>
    <mergeCell ref="H32:J32"/>
    <mergeCell ref="C27:D27"/>
    <mergeCell ref="E27:G27"/>
    <mergeCell ref="H27:J27"/>
    <mergeCell ref="A30:D30"/>
    <mergeCell ref="E30:G30"/>
    <mergeCell ref="H30:J30"/>
    <mergeCell ref="C28:D28"/>
    <mergeCell ref="E28:G28"/>
    <mergeCell ref="H28:J28"/>
    <mergeCell ref="C29:D29"/>
    <mergeCell ref="E29:G29"/>
    <mergeCell ref="H29:J29"/>
    <mergeCell ref="A4:J4"/>
    <mergeCell ref="E6:J6"/>
    <mergeCell ref="A2:C2"/>
    <mergeCell ref="D2:J2"/>
    <mergeCell ref="A3:J3"/>
    <mergeCell ref="A5:J5"/>
    <mergeCell ref="B6:D6"/>
    <mergeCell ref="E7:J7"/>
    <mergeCell ref="E8:J8"/>
    <mergeCell ref="B7:D7"/>
    <mergeCell ref="B8:D8"/>
    <mergeCell ref="B9:D9"/>
    <mergeCell ref="E9:J9"/>
    <mergeCell ref="B10:D10"/>
    <mergeCell ref="E10:J10"/>
    <mergeCell ref="B11:D11"/>
    <mergeCell ref="E11:J11"/>
    <mergeCell ref="A12:D12"/>
    <mergeCell ref="E12:J12"/>
    <mergeCell ref="A13:D13"/>
    <mergeCell ref="E17:G17"/>
    <mergeCell ref="H17:J17"/>
    <mergeCell ref="A21:J21"/>
    <mergeCell ref="C22:D22"/>
    <mergeCell ref="E22:G22"/>
    <mergeCell ref="H22:J22"/>
    <mergeCell ref="E13:J13"/>
    <mergeCell ref="A14:J14"/>
    <mergeCell ref="A15:J15"/>
    <mergeCell ref="A16:J16"/>
    <mergeCell ref="B17:D17"/>
    <mergeCell ref="B18:D18"/>
    <mergeCell ref="A19:G19"/>
    <mergeCell ref="B20:D20"/>
    <mergeCell ref="E20:G20"/>
    <mergeCell ref="H20:J20"/>
    <mergeCell ref="E18:G18"/>
    <mergeCell ref="H18:J18"/>
    <mergeCell ref="H19:J19"/>
    <mergeCell ref="A22:B22"/>
    <mergeCell ref="A23:B23"/>
    <mergeCell ref="C26:D26"/>
    <mergeCell ref="E26:G26"/>
    <mergeCell ref="H26:J26"/>
    <mergeCell ref="C24:D24"/>
    <mergeCell ref="E24:G24"/>
    <mergeCell ref="H24:J24"/>
    <mergeCell ref="C25:D25"/>
    <mergeCell ref="E25:G25"/>
    <mergeCell ref="H25:J25"/>
    <mergeCell ref="A24:B24"/>
    <mergeCell ref="A25:B25"/>
    <mergeCell ref="A26:B26"/>
    <mergeCell ref="C23:D23"/>
    <mergeCell ref="E23:G23"/>
    <mergeCell ref="H23:J23"/>
    <mergeCell ref="A33:B33"/>
    <mergeCell ref="H36:J36"/>
    <mergeCell ref="A37:D37"/>
    <mergeCell ref="C34:D34"/>
    <mergeCell ref="E34:G34"/>
    <mergeCell ref="H34:J34"/>
    <mergeCell ref="C35:D35"/>
    <mergeCell ref="E35:G35"/>
    <mergeCell ref="H35:J35"/>
    <mergeCell ref="A34:B34"/>
    <mergeCell ref="A35:B35"/>
    <mergeCell ref="A36:G36"/>
    <mergeCell ref="E37:J37"/>
    <mergeCell ref="C33:D33"/>
    <mergeCell ref="E33:G33"/>
    <mergeCell ref="H33:J33"/>
    <mergeCell ref="C44:D44"/>
    <mergeCell ref="E44:G44"/>
    <mergeCell ref="H44:J44"/>
    <mergeCell ref="C45:D45"/>
    <mergeCell ref="E45:G45"/>
    <mergeCell ref="H45:J45"/>
    <mergeCell ref="A39:J39"/>
    <mergeCell ref="C40:D40"/>
    <mergeCell ref="H40:J40"/>
    <mergeCell ref="H41:J41"/>
    <mergeCell ref="A44:B44"/>
    <mergeCell ref="A45:B45"/>
    <mergeCell ref="H50:J50"/>
    <mergeCell ref="E52:G52"/>
    <mergeCell ref="H52:J52"/>
    <mergeCell ref="A46:D46"/>
    <mergeCell ref="E46:G46"/>
    <mergeCell ref="H46:J46"/>
    <mergeCell ref="A48:J48"/>
    <mergeCell ref="C49:D49"/>
    <mergeCell ref="H49:J49"/>
    <mergeCell ref="A49:B49"/>
    <mergeCell ref="A50:B50"/>
    <mergeCell ref="C50:D50"/>
    <mergeCell ref="A51:B51"/>
    <mergeCell ref="C51:D51"/>
    <mergeCell ref="E51:G51"/>
    <mergeCell ref="H51:J51"/>
    <mergeCell ref="A52:B52"/>
    <mergeCell ref="C52:D52"/>
    <mergeCell ref="A56:D56"/>
    <mergeCell ref="E56:G56"/>
    <mergeCell ref="H56:J56"/>
    <mergeCell ref="A57:J57"/>
    <mergeCell ref="A58:B58"/>
    <mergeCell ref="C58:D58"/>
    <mergeCell ref="A59:B59"/>
    <mergeCell ref="C59:D59"/>
    <mergeCell ref="A62:D62"/>
    <mergeCell ref="E62:G62"/>
    <mergeCell ref="H62:J62"/>
    <mergeCell ref="A63:J63"/>
    <mergeCell ref="A64:B64"/>
    <mergeCell ref="C64:D64"/>
    <mergeCell ref="H58:J58"/>
    <mergeCell ref="H59:J59"/>
    <mergeCell ref="E60:G60"/>
    <mergeCell ref="H60:J60"/>
    <mergeCell ref="A60:B60"/>
    <mergeCell ref="C60:D60"/>
    <mergeCell ref="H64:J64"/>
    <mergeCell ref="H61:J61"/>
    <mergeCell ref="A61:B61"/>
    <mergeCell ref="C61:D61"/>
    <mergeCell ref="E61:G61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6337778862885"/>
  </sheetPr>
  <dimension ref="A1:L87"/>
  <sheetViews>
    <sheetView view="pageBreakPreview" zoomScaleNormal="100" zoomScaleSheetLayoutView="100" workbookViewId="0">
      <selection activeCell="Y48" sqref="Y48"/>
    </sheetView>
  </sheetViews>
  <sheetFormatPr defaultRowHeight="15" x14ac:dyDescent="0.25"/>
  <cols>
    <col min="1" max="1" width="7.42578125" style="134" bestFit="1" customWidth="1"/>
    <col min="2" max="2" width="2" style="134" bestFit="1" customWidth="1"/>
    <col min="3" max="3" width="6.42578125" style="134" customWidth="1"/>
    <col min="4" max="4" width="44.7109375" style="134" customWidth="1"/>
    <col min="5" max="5" width="3.7109375" style="134" customWidth="1"/>
    <col min="6" max="6" width="2.5703125" style="134" customWidth="1"/>
    <col min="7" max="7" width="4" style="134" customWidth="1"/>
    <col min="8" max="8" width="5.5703125" style="134" customWidth="1"/>
    <col min="9" max="9" width="3.28515625" style="134" customWidth="1"/>
    <col min="10" max="10" width="3.14062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31.5" customHeight="1" thickBot="1" x14ac:dyDescent="0.3">
      <c r="A2" s="554" t="s">
        <v>0</v>
      </c>
      <c r="B2" s="555"/>
      <c r="C2" s="556"/>
      <c r="D2" s="737" t="s">
        <v>347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  <c r="L5" s="136"/>
    </row>
    <row r="6" spans="1:12" x14ac:dyDescent="0.25">
      <c r="A6" s="123" t="s">
        <v>2</v>
      </c>
      <c r="B6" s="606" t="s">
        <v>1</v>
      </c>
      <c r="C6" s="607"/>
      <c r="D6" s="608"/>
      <c r="E6" s="567">
        <v>1137.23</v>
      </c>
      <c r="F6" s="568"/>
      <c r="G6" s="568"/>
      <c r="H6" s="568"/>
      <c r="I6" s="568"/>
      <c r="J6" s="568"/>
      <c r="K6" s="136"/>
      <c r="L6" s="136"/>
    </row>
    <row r="7" spans="1:12" x14ac:dyDescent="0.25">
      <c r="A7" s="123" t="s">
        <v>7</v>
      </c>
      <c r="B7" s="606" t="s">
        <v>25</v>
      </c>
      <c r="C7" s="607"/>
      <c r="D7" s="608"/>
      <c r="E7" s="741"/>
      <c r="F7" s="742"/>
      <c r="G7" s="742"/>
      <c r="H7" s="742"/>
      <c r="I7" s="742"/>
      <c r="J7" s="743"/>
      <c r="K7" s="136"/>
      <c r="L7" s="136"/>
    </row>
    <row r="8" spans="1:12" x14ac:dyDescent="0.25">
      <c r="A8" s="123" t="s">
        <v>8</v>
      </c>
      <c r="B8" s="606" t="s">
        <v>26</v>
      </c>
      <c r="C8" s="607"/>
      <c r="D8" s="608"/>
      <c r="E8" s="741"/>
      <c r="F8" s="742"/>
      <c r="G8" s="742"/>
      <c r="H8" s="742"/>
      <c r="I8" s="742"/>
      <c r="J8" s="743"/>
      <c r="K8" s="136"/>
      <c r="L8" s="136"/>
    </row>
    <row r="9" spans="1:12" x14ac:dyDescent="0.25">
      <c r="A9" s="123" t="s">
        <v>9</v>
      </c>
      <c r="B9" s="606" t="s">
        <v>27</v>
      </c>
      <c r="C9" s="607"/>
      <c r="D9" s="608"/>
      <c r="E9" s="741"/>
      <c r="F9" s="742"/>
      <c r="G9" s="742"/>
      <c r="H9" s="742"/>
      <c r="I9" s="742"/>
      <c r="J9" s="743"/>
      <c r="K9" s="136"/>
      <c r="L9" s="136"/>
    </row>
    <row r="10" spans="1:12" x14ac:dyDescent="0.25">
      <c r="A10" s="123" t="s">
        <v>10</v>
      </c>
      <c r="B10" s="606" t="s">
        <v>28</v>
      </c>
      <c r="C10" s="607"/>
      <c r="D10" s="608"/>
      <c r="E10" s="497"/>
      <c r="F10" s="497"/>
      <c r="G10" s="497"/>
      <c r="H10" s="497"/>
      <c r="I10" s="497"/>
      <c r="J10" s="497"/>
      <c r="K10" s="136"/>
      <c r="L10" s="136"/>
    </row>
    <row r="11" spans="1:12" ht="15.75" thickBot="1" x14ac:dyDescent="0.3">
      <c r="A11" s="125" t="s">
        <v>11</v>
      </c>
      <c r="B11" s="609" t="s">
        <v>158</v>
      </c>
      <c r="C11" s="610"/>
      <c r="D11" s="611"/>
      <c r="E11" s="740">
        <f>1045*20%</f>
        <v>209</v>
      </c>
      <c r="F11" s="740"/>
      <c r="G11" s="740"/>
      <c r="H11" s="740"/>
      <c r="I11" s="740"/>
      <c r="J11" s="740"/>
      <c r="K11" s="136"/>
      <c r="L11" s="136"/>
    </row>
    <row r="12" spans="1:12" ht="15.75" thickBot="1" x14ac:dyDescent="0.3">
      <c r="A12" s="458" t="s">
        <v>330</v>
      </c>
      <c r="B12" s="459"/>
      <c r="C12" s="459"/>
      <c r="D12" s="725"/>
      <c r="E12" s="547">
        <f>SUM(E6:J11)</f>
        <v>1346.23</v>
      </c>
      <c r="F12" s="485"/>
      <c r="G12" s="485"/>
      <c r="H12" s="485"/>
      <c r="I12" s="485"/>
      <c r="J12" s="486"/>
      <c r="K12" s="136"/>
      <c r="L12" s="136"/>
    </row>
    <row r="13" spans="1:12" ht="30.75" customHeight="1" x14ac:dyDescent="0.25">
      <c r="A13" s="551" t="s">
        <v>29</v>
      </c>
      <c r="B13" s="715"/>
      <c r="C13" s="715"/>
      <c r="D13" s="716"/>
      <c r="E13" s="548">
        <f>E12*E30</f>
        <v>495.41264000000007</v>
      </c>
      <c r="F13" s="549"/>
      <c r="G13" s="549"/>
      <c r="H13" s="549"/>
      <c r="I13" s="549"/>
      <c r="J13" s="550"/>
      <c r="K13" s="136"/>
      <c r="L13" s="136"/>
    </row>
    <row r="14" spans="1:12" ht="9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  <c r="L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3" t="s">
        <v>2</v>
      </c>
      <c r="B17" s="532" t="s">
        <v>34</v>
      </c>
      <c r="C17" s="726"/>
      <c r="D17" s="533"/>
      <c r="E17" s="727">
        <v>8.3299999999999999E-2</v>
      </c>
      <c r="F17" s="728"/>
      <c r="G17" s="729"/>
      <c r="H17" s="450">
        <f>E17*E12</f>
        <v>112.140959</v>
      </c>
      <c r="I17" s="450"/>
      <c r="J17" s="450"/>
      <c r="K17" s="136"/>
      <c r="L17" s="136"/>
    </row>
    <row r="18" spans="1:12" x14ac:dyDescent="0.25">
      <c r="A18" s="123" t="s">
        <v>7</v>
      </c>
      <c r="B18" s="532" t="s">
        <v>35</v>
      </c>
      <c r="C18" s="726"/>
      <c r="D18" s="533"/>
      <c r="E18" s="692">
        <v>0.121</v>
      </c>
      <c r="F18" s="693"/>
      <c r="G18" s="694"/>
      <c r="H18" s="450">
        <f>E18*E12</f>
        <v>162.89383000000001</v>
      </c>
      <c r="I18" s="450"/>
      <c r="J18" s="450"/>
      <c r="K18" s="136"/>
      <c r="L18" s="136"/>
    </row>
    <row r="19" spans="1:12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275.03478899999999</v>
      </c>
      <c r="I19" s="525"/>
      <c r="J19" s="525"/>
      <c r="K19" s="136"/>
      <c r="L19" s="136"/>
    </row>
    <row r="20" spans="1:12" ht="30.75" customHeight="1" thickBot="1" x14ac:dyDescent="0.3">
      <c r="A20" s="123" t="s">
        <v>8</v>
      </c>
      <c r="B20" s="478" t="s">
        <v>37</v>
      </c>
      <c r="C20" s="691"/>
      <c r="D20" s="479"/>
      <c r="E20" s="692">
        <v>7.8200000000000006E-2</v>
      </c>
      <c r="F20" s="693"/>
      <c r="G20" s="694"/>
      <c r="H20" s="290">
        <f>E12*E20</f>
        <v>105.27518600000001</v>
      </c>
      <c r="I20" s="291"/>
      <c r="J20" s="292"/>
      <c r="K20" s="136"/>
      <c r="L20" s="136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324.25295780000005</v>
      </c>
      <c r="I22" s="450"/>
      <c r="J22" s="450"/>
      <c r="K22" s="136"/>
      <c r="L22" s="136"/>
    </row>
    <row r="23" spans="1:12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40.531619725000006</v>
      </c>
      <c r="I23" s="450"/>
      <c r="J23" s="450"/>
      <c r="K23" s="136"/>
      <c r="L23" s="136"/>
    </row>
    <row r="24" spans="1:12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48.637943669999999</v>
      </c>
      <c r="I24" s="450"/>
      <c r="J24" s="450"/>
      <c r="K24" s="136"/>
      <c r="L24" s="136"/>
    </row>
    <row r="25" spans="1:12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24.318971834999999</v>
      </c>
      <c r="I25" s="450"/>
      <c r="J25" s="450"/>
      <c r="K25" s="136"/>
      <c r="L25" s="136"/>
    </row>
    <row r="26" spans="1:12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16.21264789</v>
      </c>
      <c r="I26" s="450"/>
      <c r="J26" s="450"/>
      <c r="K26" s="136"/>
      <c r="L26" s="136"/>
    </row>
    <row r="27" spans="1:12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9.7275887340000011</v>
      </c>
      <c r="I27" s="450"/>
      <c r="J27" s="450"/>
      <c r="K27" s="136"/>
      <c r="L27" s="136"/>
    </row>
    <row r="28" spans="1:12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3.2425295780000001</v>
      </c>
      <c r="I28" s="450"/>
      <c r="J28" s="450"/>
      <c r="K28" s="136"/>
      <c r="L28" s="136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129.70118312</v>
      </c>
      <c r="I29" s="450"/>
      <c r="J29" s="450"/>
      <c r="K29" s="136"/>
      <c r="L29" s="136"/>
    </row>
    <row r="30" spans="1:12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596.62544235200016</v>
      </c>
      <c r="I30" s="592"/>
      <c r="J30" s="592"/>
      <c r="K30" s="136"/>
      <c r="L30" s="136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(3.9*2*25.5)-6%*E6</f>
        <v>130.6662</v>
      </c>
      <c r="I32" s="450"/>
      <c r="J32" s="450"/>
      <c r="K32" s="136"/>
      <c r="L32" s="136"/>
    </row>
    <row r="33" spans="1:12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(21.63*25.5)-20%</f>
        <v>551.3649999999999</v>
      </c>
      <c r="I33" s="450"/>
      <c r="J33" s="450"/>
      <c r="K33" s="136"/>
      <c r="L33" s="136"/>
    </row>
    <row r="34" spans="1:12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36"/>
      <c r="L34" s="136"/>
    </row>
    <row r="35" spans="1:12" x14ac:dyDescent="0.25">
      <c r="A35" s="482" t="s">
        <v>9</v>
      </c>
      <c r="B35" s="483"/>
      <c r="C35" s="478" t="s">
        <v>28</v>
      </c>
      <c r="D35" s="479"/>
      <c r="E35" s="497"/>
      <c r="F35" s="497"/>
      <c r="G35" s="497"/>
      <c r="H35" s="450">
        <v>25.95</v>
      </c>
      <c r="I35" s="450"/>
      <c r="J35" s="450"/>
      <c r="K35" s="136"/>
      <c r="L35" s="136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744.55119999999999</v>
      </c>
      <c r="I36" s="451"/>
      <c r="J36" s="451"/>
      <c r="K36" s="136"/>
      <c r="L36" s="136"/>
    </row>
    <row r="37" spans="1:12" ht="15.75" thickBot="1" x14ac:dyDescent="0.3">
      <c r="A37" s="458" t="s">
        <v>72</v>
      </c>
      <c r="B37" s="459"/>
      <c r="C37" s="459"/>
      <c r="D37" s="460"/>
      <c r="E37" s="587">
        <f>H19+H30+H36</f>
        <v>1616.2114313520001</v>
      </c>
      <c r="F37" s="498"/>
      <c r="G37" s="498"/>
      <c r="H37" s="498"/>
      <c r="I37" s="498"/>
      <c r="J37" s="499"/>
      <c r="K37" s="136"/>
      <c r="L37" s="136"/>
    </row>
    <row r="38" spans="1:12" ht="11.2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  <c r="L38" s="136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2" t="s">
        <v>2</v>
      </c>
      <c r="B40" s="453"/>
      <c r="C40" s="452" t="s">
        <v>51</v>
      </c>
      <c r="D40" s="453"/>
      <c r="E40" s="157"/>
      <c r="F40" s="158"/>
      <c r="G40" s="159"/>
      <c r="H40" s="456">
        <f>E12/12*5%</f>
        <v>5.6092916666666675</v>
      </c>
      <c r="I40" s="457"/>
      <c r="J40" s="453"/>
      <c r="K40" s="136"/>
      <c r="L40" s="136"/>
    </row>
    <row r="41" spans="1:12" x14ac:dyDescent="0.25">
      <c r="A41" s="452" t="s">
        <v>7</v>
      </c>
      <c r="B41" s="453"/>
      <c r="C41" s="452" t="s">
        <v>52</v>
      </c>
      <c r="D41" s="453"/>
      <c r="E41" s="157"/>
      <c r="F41" s="158"/>
      <c r="G41" s="159"/>
      <c r="H41" s="456">
        <f>H40*8%</f>
        <v>0.44874333333333338</v>
      </c>
      <c r="I41" s="457"/>
      <c r="J41" s="453"/>
      <c r="K41" s="136"/>
      <c r="L41" s="136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  <c r="L42" s="136"/>
    </row>
    <row r="43" spans="1:12" x14ac:dyDescent="0.25">
      <c r="A43" s="481" t="s">
        <v>9</v>
      </c>
      <c r="B43" s="481"/>
      <c r="C43" s="482" t="s">
        <v>54</v>
      </c>
      <c r="D43" s="483"/>
      <c r="E43" s="480"/>
      <c r="F43" s="480"/>
      <c r="G43" s="480"/>
      <c r="H43" s="450">
        <f>E12/30/12*7*100%</f>
        <v>26.176694444444443</v>
      </c>
      <c r="I43" s="450"/>
      <c r="J43" s="450"/>
      <c r="K43" s="136"/>
      <c r="L43" s="136"/>
    </row>
    <row r="44" spans="1:12" ht="30.75" customHeight="1" x14ac:dyDescent="0.25">
      <c r="A44" s="481" t="s">
        <v>10</v>
      </c>
      <c r="B44" s="481"/>
      <c r="C44" s="478" t="s">
        <v>83</v>
      </c>
      <c r="D44" s="479"/>
      <c r="E44" s="480"/>
      <c r="F44" s="480"/>
      <c r="G44" s="480"/>
      <c r="H44" s="450">
        <f>H43*39.8%</f>
        <v>10.418324388888887</v>
      </c>
      <c r="I44" s="450"/>
      <c r="J44" s="450"/>
      <c r="K44" s="136"/>
      <c r="L44" s="136"/>
    </row>
    <row r="45" spans="1:12" ht="30.75" customHeight="1" thickBot="1" x14ac:dyDescent="0.3">
      <c r="A45" s="473" t="s">
        <v>11</v>
      </c>
      <c r="B45" s="474"/>
      <c r="C45" s="475" t="s">
        <v>53</v>
      </c>
      <c r="D45" s="476"/>
      <c r="E45" s="467"/>
      <c r="F45" s="468"/>
      <c r="G45" s="469"/>
      <c r="H45" s="470">
        <f>E12*5%</f>
        <v>67.311500000000009</v>
      </c>
      <c r="I45" s="471"/>
      <c r="J45" s="472"/>
      <c r="K45" s="136"/>
      <c r="L45" s="136"/>
    </row>
    <row r="46" spans="1:12" ht="15.75" thickBot="1" x14ac:dyDescent="0.3">
      <c r="A46" s="570" t="s">
        <v>333</v>
      </c>
      <c r="B46" s="571"/>
      <c r="C46" s="571"/>
      <c r="D46" s="571"/>
      <c r="E46" s="571"/>
      <c r="F46" s="571"/>
      <c r="G46" s="572"/>
      <c r="H46" s="547">
        <f>SUM(H40:J45)</f>
        <v>109.96455383333334</v>
      </c>
      <c r="I46" s="485"/>
      <c r="J46" s="486"/>
      <c r="K46" s="136"/>
      <c r="L46" s="136"/>
    </row>
    <row r="47" spans="1:12" ht="9" customHeight="1" thickBot="1" x14ac:dyDescent="0.3">
      <c r="E47" s="160"/>
      <c r="F47" s="160"/>
      <c r="G47" s="160"/>
      <c r="H47" s="161"/>
      <c r="I47" s="161"/>
      <c r="J47" s="161"/>
      <c r="K47" s="136"/>
      <c r="L47" s="136"/>
    </row>
    <row r="48" spans="1:12" ht="30.75" customHeight="1" thickBot="1" x14ac:dyDescent="0.3">
      <c r="A48" s="494" t="s">
        <v>128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2" t="s">
        <v>2</v>
      </c>
      <c r="B49" s="453"/>
      <c r="C49" s="452" t="s">
        <v>56</v>
      </c>
      <c r="D49" s="453"/>
      <c r="E49" s="157"/>
      <c r="F49" s="158"/>
      <c r="G49" s="159"/>
      <c r="H49" s="456">
        <f>E20/12*5%</f>
        <v>3.2583333333333336E-4</v>
      </c>
      <c r="I49" s="457"/>
      <c r="J49" s="453"/>
      <c r="K49" s="136"/>
      <c r="L49" s="136"/>
    </row>
    <row r="50" spans="1:12" x14ac:dyDescent="0.25">
      <c r="A50" s="452" t="s">
        <v>7</v>
      </c>
      <c r="B50" s="453"/>
      <c r="C50" s="452" t="s">
        <v>57</v>
      </c>
      <c r="D50" s="453"/>
      <c r="E50" s="157"/>
      <c r="F50" s="158"/>
      <c r="G50" s="159"/>
      <c r="H50" s="456">
        <f>E12/30/12</f>
        <v>3.7395277777777776</v>
      </c>
      <c r="I50" s="457"/>
      <c r="J50" s="453"/>
      <c r="K50" s="136"/>
      <c r="L50" s="136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0.28046458333333335</v>
      </c>
      <c r="I51" s="450"/>
      <c r="J51" s="450"/>
      <c r="K51" s="136"/>
      <c r="L51" s="136"/>
    </row>
    <row r="52" spans="1:12" ht="31.5" customHeight="1" x14ac:dyDescent="0.25">
      <c r="A52" s="481" t="s">
        <v>9</v>
      </c>
      <c r="B52" s="481"/>
      <c r="C52" s="284" t="s">
        <v>59</v>
      </c>
      <c r="D52" s="286"/>
      <c r="E52" s="480"/>
      <c r="F52" s="480"/>
      <c r="G52" s="480"/>
      <c r="H52" s="450">
        <f>E12/30/12*15*8%</f>
        <v>4.4874333333333327</v>
      </c>
      <c r="I52" s="450"/>
      <c r="J52" s="450"/>
      <c r="K52" s="136"/>
      <c r="L52" s="136"/>
    </row>
    <row r="53" spans="1:12" x14ac:dyDescent="0.25">
      <c r="A53" s="481" t="s">
        <v>10</v>
      </c>
      <c r="B53" s="481"/>
      <c r="C53" s="478" t="s">
        <v>60</v>
      </c>
      <c r="D53" s="479"/>
      <c r="E53" s="480"/>
      <c r="F53" s="480"/>
      <c r="G53" s="480"/>
      <c r="H53" s="450">
        <f>E20*5%</f>
        <v>3.9100000000000003E-3</v>
      </c>
      <c r="I53" s="450"/>
      <c r="J53" s="450"/>
      <c r="K53" s="136"/>
      <c r="L53" s="136"/>
    </row>
    <row r="54" spans="1:12" x14ac:dyDescent="0.25">
      <c r="A54" s="481" t="s">
        <v>11</v>
      </c>
      <c r="B54" s="481"/>
      <c r="C54" s="478" t="s">
        <v>61</v>
      </c>
      <c r="D54" s="479"/>
      <c r="E54" s="480"/>
      <c r="F54" s="480"/>
      <c r="G54" s="480"/>
      <c r="H54" s="450">
        <f>E12/30/12*5*40%</f>
        <v>7.479055555555556</v>
      </c>
      <c r="I54" s="450"/>
      <c r="J54" s="450"/>
      <c r="K54" s="136"/>
      <c r="L54" s="136"/>
    </row>
    <row r="55" spans="1:12" ht="30" customHeight="1" x14ac:dyDescent="0.25">
      <c r="A55" s="481" t="s">
        <v>39</v>
      </c>
      <c r="B55" s="481"/>
      <c r="C55" s="478" t="s">
        <v>62</v>
      </c>
      <c r="D55" s="479"/>
      <c r="E55" s="480"/>
      <c r="F55" s="480"/>
      <c r="G55" s="480"/>
      <c r="H55" s="450">
        <f>SUM(H49:J54)*39.8%</f>
        <v>6.3643053991666658</v>
      </c>
      <c r="I55" s="450"/>
      <c r="J55" s="450"/>
      <c r="K55" s="136"/>
      <c r="L55" s="136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22.355022482499997</v>
      </c>
      <c r="I56" s="592"/>
      <c r="J56" s="592"/>
      <c r="K56" s="136"/>
      <c r="L56" s="136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2.25" customHeight="1" x14ac:dyDescent="0.25">
      <c r="A58" s="452" t="s">
        <v>2</v>
      </c>
      <c r="B58" s="453"/>
      <c r="C58" s="454" t="s">
        <v>64</v>
      </c>
      <c r="D58" s="455"/>
      <c r="E58" s="157"/>
      <c r="F58" s="158"/>
      <c r="G58" s="159"/>
      <c r="H58" s="456">
        <f>((((E12+(E12/3))*0.3333)/12)*2%)</f>
        <v>0.99710768666666649</v>
      </c>
      <c r="I58" s="457"/>
      <c r="J58" s="453"/>
      <c r="K58" s="136"/>
      <c r="L58" s="136"/>
    </row>
    <row r="59" spans="1:12" ht="45" customHeight="1" x14ac:dyDescent="0.25">
      <c r="A59" s="452" t="s">
        <v>7</v>
      </c>
      <c r="B59" s="453"/>
      <c r="C59" s="454" t="s">
        <v>65</v>
      </c>
      <c r="D59" s="455"/>
      <c r="E59" s="157"/>
      <c r="F59" s="158"/>
      <c r="G59" s="159"/>
      <c r="H59" s="456">
        <f>H58*39.8%</f>
        <v>0.39684885929333324</v>
      </c>
      <c r="I59" s="457"/>
      <c r="J59" s="453"/>
      <c r="K59" s="136"/>
      <c r="L59" s="136"/>
    </row>
    <row r="60" spans="1:12" ht="43.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3.8656747336021207</v>
      </c>
      <c r="I60" s="450"/>
      <c r="J60" s="450"/>
      <c r="K60" s="136"/>
      <c r="L60" s="136"/>
    </row>
    <row r="61" spans="1:12" x14ac:dyDescent="0.25">
      <c r="A61" s="481" t="s">
        <v>9</v>
      </c>
      <c r="B61" s="481"/>
      <c r="C61" s="482" t="s">
        <v>67</v>
      </c>
      <c r="D61" s="483"/>
      <c r="E61" s="480"/>
      <c r="F61" s="480"/>
      <c r="G61" s="480"/>
      <c r="H61" s="450"/>
      <c r="I61" s="450"/>
      <c r="J61" s="450"/>
      <c r="K61" s="136"/>
      <c r="L61" s="136"/>
    </row>
    <row r="62" spans="1:12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5.2596312795621198</v>
      </c>
      <c r="I62" s="592"/>
      <c r="J62" s="592"/>
      <c r="K62" s="136"/>
      <c r="L62" s="136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3" customHeight="1" x14ac:dyDescent="0.25">
      <c r="A64" s="452" t="s">
        <v>2</v>
      </c>
      <c r="B64" s="453"/>
      <c r="C64" s="454" t="s">
        <v>69</v>
      </c>
      <c r="D64" s="455"/>
      <c r="E64" s="157"/>
      <c r="F64" s="158"/>
      <c r="G64" s="159"/>
      <c r="H64" s="456">
        <f>((((E18+(E18/3))*0.3333)/12)*2%)</f>
        <v>8.9620666666666654E-5</v>
      </c>
      <c r="I64" s="457"/>
      <c r="J64" s="453"/>
      <c r="K64" s="136"/>
      <c r="L64" s="136"/>
    </row>
    <row r="65" spans="1:12" ht="29.25" customHeight="1" x14ac:dyDescent="0.25">
      <c r="A65" s="452" t="s">
        <v>7</v>
      </c>
      <c r="B65" s="453"/>
      <c r="C65" s="454" t="s">
        <v>70</v>
      </c>
      <c r="D65" s="455"/>
      <c r="E65" s="157"/>
      <c r="F65" s="158"/>
      <c r="G65" s="159"/>
      <c r="H65" s="456">
        <f>H64*39.8%</f>
        <v>3.5669025333333325E-5</v>
      </c>
      <c r="I65" s="457"/>
      <c r="J65" s="453"/>
      <c r="K65" s="136"/>
      <c r="L65" s="136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  <c r="L66" s="136"/>
    </row>
    <row r="67" spans="1:12" ht="15.75" thickBot="1" x14ac:dyDescent="0.3">
      <c r="A67" s="458" t="s">
        <v>71</v>
      </c>
      <c r="B67" s="459"/>
      <c r="C67" s="459"/>
      <c r="D67" s="725"/>
      <c r="E67" s="587">
        <f>H66+H62+H56</f>
        <v>27.614779051754116</v>
      </c>
      <c r="F67" s="498"/>
      <c r="G67" s="498"/>
      <c r="H67" s="498"/>
      <c r="I67" s="498"/>
      <c r="J67" s="499"/>
      <c r="K67" s="136"/>
      <c r="L67" s="136"/>
    </row>
    <row r="68" spans="1:12" ht="11.25" customHeight="1" thickBot="1" x14ac:dyDescent="0.3">
      <c r="A68" s="135"/>
      <c r="B68" s="135"/>
      <c r="C68" s="135"/>
      <c r="D68" s="135"/>
      <c r="E68" s="135"/>
      <c r="F68" s="135"/>
      <c r="G68" s="135"/>
      <c r="H68" s="135"/>
      <c r="I68" s="135"/>
      <c r="J68" s="135"/>
      <c r="K68" s="136"/>
      <c r="L68" s="136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2" t="s">
        <v>2</v>
      </c>
      <c r="B70" s="453"/>
      <c r="C70" s="452" t="s">
        <v>74</v>
      </c>
      <c r="D70" s="453"/>
      <c r="E70" s="452"/>
      <c r="F70" s="457"/>
      <c r="G70" s="453"/>
      <c r="H70" s="456">
        <v>300</v>
      </c>
      <c r="I70" s="457"/>
      <c r="J70" s="453"/>
      <c r="K70" s="136"/>
      <c r="L70" s="136"/>
    </row>
    <row r="71" spans="1:12" x14ac:dyDescent="0.25">
      <c r="A71" s="452" t="s">
        <v>7</v>
      </c>
      <c r="B71" s="453"/>
      <c r="C71" s="452" t="s">
        <v>75</v>
      </c>
      <c r="D71" s="453"/>
      <c r="E71" s="157"/>
      <c r="F71" s="158"/>
      <c r="G71" s="159"/>
      <c r="H71" s="456">
        <v>5</v>
      </c>
      <c r="I71" s="457"/>
      <c r="J71" s="453"/>
      <c r="K71" s="136"/>
      <c r="L71" s="136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43.5</v>
      </c>
      <c r="I72" s="450"/>
      <c r="J72" s="450"/>
      <c r="K72" s="136"/>
      <c r="L72" s="136"/>
    </row>
    <row r="73" spans="1:12" ht="15.75" thickBot="1" x14ac:dyDescent="0.3">
      <c r="A73" s="477" t="s">
        <v>9</v>
      </c>
      <c r="B73" s="477"/>
      <c r="C73" s="473" t="s">
        <v>28</v>
      </c>
      <c r="D73" s="474"/>
      <c r="E73" s="448"/>
      <c r="F73" s="448"/>
      <c r="G73" s="448"/>
      <c r="H73" s="449">
        <v>5</v>
      </c>
      <c r="I73" s="449"/>
      <c r="J73" s="449"/>
      <c r="K73" s="136"/>
      <c r="L73" s="136"/>
    </row>
    <row r="74" spans="1:12" ht="15.75" thickBot="1" x14ac:dyDescent="0.3">
      <c r="A74" s="570" t="s">
        <v>336</v>
      </c>
      <c r="B74" s="571"/>
      <c r="C74" s="571"/>
      <c r="D74" s="571"/>
      <c r="E74" s="571"/>
      <c r="F74" s="571"/>
      <c r="G74" s="571"/>
      <c r="H74" s="547">
        <f>SUM(H70:J73)</f>
        <v>353.5</v>
      </c>
      <c r="I74" s="485"/>
      <c r="J74" s="486"/>
      <c r="K74" s="136"/>
      <c r="L74" s="136"/>
    </row>
    <row r="75" spans="1:12" ht="8.25" customHeight="1" thickBot="1" x14ac:dyDescent="0.3">
      <c r="E75" s="160"/>
      <c r="F75" s="160"/>
      <c r="G75" s="160"/>
      <c r="H75" s="161"/>
      <c r="I75" s="161"/>
      <c r="J75" s="161"/>
      <c r="K75" s="136"/>
      <c r="L75" s="136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2" t="s">
        <v>2</v>
      </c>
      <c r="B77" s="453"/>
      <c r="C77" s="452" t="s">
        <v>77</v>
      </c>
      <c r="D77" s="453"/>
      <c r="E77" s="537">
        <v>7.0000000000000007E-2</v>
      </c>
      <c r="F77" s="457"/>
      <c r="G77" s="453"/>
      <c r="H77" s="456">
        <f>(H74+E67+H46+E37+E12)*E77</f>
        <v>241.74645349659613</v>
      </c>
      <c r="I77" s="457"/>
      <c r="J77" s="453"/>
      <c r="K77" s="136"/>
      <c r="L77" s="136"/>
    </row>
    <row r="78" spans="1:12" x14ac:dyDescent="0.25">
      <c r="A78" s="452" t="s">
        <v>7</v>
      </c>
      <c r="B78" s="453"/>
      <c r="C78" s="452" t="s">
        <v>12</v>
      </c>
      <c r="D78" s="453"/>
      <c r="E78" s="537">
        <v>7.5774185115783349E-2</v>
      </c>
      <c r="F78" s="457"/>
      <c r="G78" s="453"/>
      <c r="H78" s="456">
        <f>E78*(H74+E67+H46+E37+E12)</f>
        <v>261.68772169050266</v>
      </c>
      <c r="I78" s="457"/>
      <c r="J78" s="453"/>
      <c r="K78" s="136"/>
      <c r="L78" s="136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450">
        <f>(H74+E67+H46+E37+E12)/E79</f>
        <v>4027.4294626671572</v>
      </c>
      <c r="I79" s="450"/>
      <c r="J79" s="450"/>
      <c r="K79" s="136"/>
      <c r="L79" s="136"/>
    </row>
    <row r="80" spans="1:12" x14ac:dyDescent="0.25">
      <c r="A80" s="481" t="s">
        <v>9</v>
      </c>
      <c r="B80" s="481"/>
      <c r="C80" s="482" t="s">
        <v>79</v>
      </c>
      <c r="D80" s="483"/>
      <c r="E80" s="480">
        <v>1.6500000000000001E-2</v>
      </c>
      <c r="F80" s="480"/>
      <c r="G80" s="480"/>
      <c r="H80" s="450">
        <f>E80*H87</f>
        <v>54.550980000000003</v>
      </c>
      <c r="I80" s="450"/>
      <c r="J80" s="450"/>
      <c r="K80" s="136"/>
      <c r="L80" s="136"/>
    </row>
    <row r="81" spans="1:12" x14ac:dyDescent="0.25">
      <c r="A81" s="481" t="s">
        <v>9</v>
      </c>
      <c r="B81" s="481"/>
      <c r="C81" s="482" t="s">
        <v>80</v>
      </c>
      <c r="D81" s="483"/>
      <c r="E81" s="480">
        <v>7.5999999999999998E-2</v>
      </c>
      <c r="F81" s="480"/>
      <c r="G81" s="480"/>
      <c r="H81" s="450">
        <f>E81*H87</f>
        <v>251.26512</v>
      </c>
      <c r="I81" s="450"/>
      <c r="J81" s="450"/>
      <c r="K81" s="136"/>
      <c r="L81" s="136"/>
    </row>
    <row r="82" spans="1:12" x14ac:dyDescent="0.25">
      <c r="A82" s="481" t="s">
        <v>10</v>
      </c>
      <c r="B82" s="481"/>
      <c r="C82" s="482" t="s">
        <v>81</v>
      </c>
      <c r="D82" s="483"/>
      <c r="E82" s="480"/>
      <c r="F82" s="480"/>
      <c r="G82" s="480"/>
      <c r="H82" s="450"/>
      <c r="I82" s="450"/>
      <c r="J82" s="450"/>
      <c r="K82" s="136"/>
      <c r="L82" s="136"/>
    </row>
    <row r="83" spans="1:12" ht="15.75" thickBot="1" x14ac:dyDescent="0.3">
      <c r="A83" s="477" t="s">
        <v>11</v>
      </c>
      <c r="B83" s="477"/>
      <c r="C83" s="473" t="s">
        <v>82</v>
      </c>
      <c r="D83" s="474"/>
      <c r="E83" s="448">
        <v>0.05</v>
      </c>
      <c r="F83" s="448"/>
      <c r="G83" s="448"/>
      <c r="H83" s="449">
        <f>E83*H87</f>
        <v>165.30600000000001</v>
      </c>
      <c r="I83" s="449"/>
      <c r="J83" s="449"/>
      <c r="K83" s="136"/>
      <c r="L83" s="136"/>
    </row>
    <row r="84" spans="1:12" ht="15.75" thickBot="1" x14ac:dyDescent="0.3">
      <c r="A84" s="570" t="s">
        <v>340</v>
      </c>
      <c r="B84" s="571"/>
      <c r="C84" s="571"/>
      <c r="D84" s="571"/>
      <c r="E84" s="571"/>
      <c r="F84" s="571"/>
      <c r="G84" s="571"/>
      <c r="H84" s="547">
        <f>H77+H78+H80+H81+H83</f>
        <v>974.55627518709889</v>
      </c>
      <c r="I84" s="485"/>
      <c r="J84" s="486"/>
      <c r="K84" s="136"/>
      <c r="L84" s="136"/>
    </row>
    <row r="85" spans="1:12" ht="11.25" customHeight="1" thickBot="1" x14ac:dyDescent="0.3">
      <c r="E85" s="160"/>
      <c r="F85" s="160"/>
      <c r="G85" s="160"/>
      <c r="H85" s="161"/>
      <c r="I85" s="161"/>
      <c r="J85" s="161"/>
      <c r="K85" s="136"/>
      <c r="L85" s="136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722">
        <f>SUM(H84+H74+E67+H46+E37+E12)</f>
        <v>4428.0770394241863</v>
      </c>
      <c r="I86" s="723"/>
      <c r="J86" s="724"/>
    </row>
    <row r="87" spans="1:12" ht="15.75" thickBot="1" x14ac:dyDescent="0.3">
      <c r="H87" s="162">
        <v>3306.12</v>
      </c>
      <c r="I87" s="162"/>
      <c r="J87" s="162"/>
    </row>
  </sheetData>
  <mergeCells count="230">
    <mergeCell ref="A1:J1"/>
    <mergeCell ref="A74:G74"/>
    <mergeCell ref="A84:G84"/>
    <mergeCell ref="A46:G46"/>
    <mergeCell ref="A2:C2"/>
    <mergeCell ref="D2:J2"/>
    <mergeCell ref="A3:J3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37" max="16383" man="1"/>
  </row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6337778862885"/>
  </sheetPr>
  <dimension ref="A1:L87"/>
  <sheetViews>
    <sheetView topLeftCell="A43" workbookViewId="0">
      <selection activeCell="A48" sqref="A48:J48"/>
    </sheetView>
  </sheetViews>
  <sheetFormatPr defaultRowHeight="15" x14ac:dyDescent="0.25"/>
  <cols>
    <col min="1" max="1" width="7.42578125" bestFit="1" customWidth="1"/>
    <col min="2" max="2" width="2" bestFit="1" customWidth="1"/>
    <col min="3" max="3" width="7.7109375" customWidth="1"/>
    <col min="4" max="4" width="44.7109375" customWidth="1"/>
    <col min="5" max="5" width="3.7109375" customWidth="1"/>
    <col min="6" max="6" width="2.5703125" customWidth="1"/>
    <col min="7" max="7" width="4" customWidth="1"/>
    <col min="8" max="8" width="5.5703125" customWidth="1"/>
    <col min="9" max="9" width="3.28515625" customWidth="1"/>
    <col min="10" max="10" width="3.140625" customWidth="1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23"/>
    </row>
    <row r="2" spans="1:12" ht="31.5" customHeight="1" thickBot="1" x14ac:dyDescent="0.3">
      <c r="A2" s="554" t="s">
        <v>0</v>
      </c>
      <c r="B2" s="555"/>
      <c r="C2" s="556"/>
      <c r="D2" s="737" t="s">
        <v>348</v>
      </c>
      <c r="E2" s="738"/>
      <c r="F2" s="738"/>
      <c r="G2" s="738"/>
      <c r="H2" s="738"/>
      <c r="I2" s="738"/>
      <c r="J2" s="739"/>
      <c r="K2" s="23"/>
    </row>
    <row r="3" spans="1:12" ht="9" customHeight="1" thickBot="1" x14ac:dyDescent="0.3">
      <c r="A3" s="267"/>
      <c r="B3" s="232"/>
      <c r="C3" s="232"/>
      <c r="D3" s="232"/>
      <c r="E3" s="232"/>
      <c r="F3" s="232"/>
      <c r="G3" s="232"/>
      <c r="H3" s="232"/>
      <c r="I3" s="232"/>
      <c r="J3" s="265"/>
      <c r="K3" s="23"/>
      <c r="L3" s="23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23"/>
    </row>
    <row r="5" spans="1:12" x14ac:dyDescent="0.25">
      <c r="A5" s="232" t="s">
        <v>31</v>
      </c>
      <c r="B5" s="232"/>
      <c r="C5" s="232"/>
      <c r="D5" s="232"/>
      <c r="E5" s="232"/>
      <c r="F5" s="232"/>
      <c r="G5" s="232"/>
      <c r="H5" s="232"/>
      <c r="I5" s="232"/>
      <c r="J5" s="232"/>
      <c r="K5" s="23"/>
      <c r="L5" s="23"/>
    </row>
    <row r="6" spans="1:12" x14ac:dyDescent="0.25">
      <c r="A6" s="121" t="s">
        <v>2</v>
      </c>
      <c r="B6" s="702" t="s">
        <v>1</v>
      </c>
      <c r="C6" s="703"/>
      <c r="D6" s="704"/>
      <c r="E6" s="712">
        <v>1137.23</v>
      </c>
      <c r="F6" s="713"/>
      <c r="G6" s="713"/>
      <c r="H6" s="713"/>
      <c r="I6" s="713"/>
      <c r="J6" s="713"/>
      <c r="K6" s="23"/>
      <c r="L6" s="23"/>
    </row>
    <row r="7" spans="1:12" x14ac:dyDescent="0.25">
      <c r="A7" s="121" t="s">
        <v>7</v>
      </c>
      <c r="B7" s="702" t="s">
        <v>25</v>
      </c>
      <c r="C7" s="703"/>
      <c r="D7" s="704"/>
      <c r="E7" s="705"/>
      <c r="F7" s="706"/>
      <c r="G7" s="706"/>
      <c r="H7" s="706"/>
      <c r="I7" s="706"/>
      <c r="J7" s="707"/>
      <c r="K7" s="23"/>
      <c r="L7" s="23"/>
    </row>
    <row r="8" spans="1:12" x14ac:dyDescent="0.25">
      <c r="A8" s="121" t="s">
        <v>8</v>
      </c>
      <c r="B8" s="702" t="s">
        <v>26</v>
      </c>
      <c r="C8" s="703"/>
      <c r="D8" s="704"/>
      <c r="E8" s="705"/>
      <c r="F8" s="706"/>
      <c r="G8" s="706"/>
      <c r="H8" s="706"/>
      <c r="I8" s="706"/>
      <c r="J8" s="707"/>
      <c r="K8" s="23"/>
      <c r="L8" s="23"/>
    </row>
    <row r="9" spans="1:12" x14ac:dyDescent="0.25">
      <c r="A9" s="121" t="s">
        <v>9</v>
      </c>
      <c r="B9" s="702" t="s">
        <v>27</v>
      </c>
      <c r="C9" s="703"/>
      <c r="D9" s="704"/>
      <c r="E9" s="705"/>
      <c r="F9" s="706"/>
      <c r="G9" s="706"/>
      <c r="H9" s="706"/>
      <c r="I9" s="706"/>
      <c r="J9" s="707"/>
      <c r="K9" s="23"/>
      <c r="L9" s="23"/>
    </row>
    <row r="10" spans="1:12" x14ac:dyDescent="0.25">
      <c r="A10" s="121" t="s">
        <v>10</v>
      </c>
      <c r="B10" s="702" t="s">
        <v>28</v>
      </c>
      <c r="C10" s="703"/>
      <c r="D10" s="704"/>
      <c r="E10" s="672"/>
      <c r="F10" s="672"/>
      <c r="G10" s="672"/>
      <c r="H10" s="672"/>
      <c r="I10" s="672"/>
      <c r="J10" s="672"/>
      <c r="K10" s="23"/>
      <c r="L10" s="23"/>
    </row>
    <row r="11" spans="1:12" ht="15.75" thickBot="1" x14ac:dyDescent="0.3">
      <c r="A11" s="125" t="s">
        <v>11</v>
      </c>
      <c r="B11" s="609" t="s">
        <v>161</v>
      </c>
      <c r="C11" s="610"/>
      <c r="D11" s="611"/>
      <c r="E11" s="744">
        <f>1045*40%</f>
        <v>418</v>
      </c>
      <c r="F11" s="744"/>
      <c r="G11" s="744"/>
      <c r="H11" s="744"/>
      <c r="I11" s="744"/>
      <c r="J11" s="744"/>
      <c r="K11" s="23"/>
      <c r="L11" s="23"/>
    </row>
    <row r="12" spans="1:12" ht="15.75" thickBot="1" x14ac:dyDescent="0.3">
      <c r="A12" s="645" t="s">
        <v>330</v>
      </c>
      <c r="B12" s="646"/>
      <c r="C12" s="646"/>
      <c r="D12" s="745"/>
      <c r="E12" s="641">
        <f>SUM(E6:J11)</f>
        <v>1555.23</v>
      </c>
      <c r="F12" s="642"/>
      <c r="G12" s="642"/>
      <c r="H12" s="642"/>
      <c r="I12" s="642"/>
      <c r="J12" s="643"/>
      <c r="K12" s="23"/>
      <c r="L12" s="23"/>
    </row>
    <row r="13" spans="1:12" ht="32.25" customHeight="1" x14ac:dyDescent="0.25">
      <c r="A13" s="551" t="s">
        <v>29</v>
      </c>
      <c r="B13" s="715"/>
      <c r="C13" s="715"/>
      <c r="D13" s="716"/>
      <c r="E13" s="548">
        <f>E12*E30</f>
        <v>572.32464000000004</v>
      </c>
      <c r="F13" s="549"/>
      <c r="G13" s="549"/>
      <c r="H13" s="549"/>
      <c r="I13" s="549"/>
      <c r="J13" s="550"/>
      <c r="K13" s="23"/>
      <c r="L13" s="23"/>
    </row>
    <row r="14" spans="1:12" ht="9.75" customHeight="1" thickBot="1" x14ac:dyDescent="0.3">
      <c r="A14" s="232"/>
      <c r="B14" s="232"/>
      <c r="C14" s="232"/>
      <c r="D14" s="232"/>
      <c r="E14" s="232"/>
      <c r="F14" s="232"/>
      <c r="G14" s="232"/>
      <c r="H14" s="232"/>
      <c r="I14" s="232"/>
      <c r="J14" s="232"/>
      <c r="K14" s="23"/>
      <c r="L14" s="23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23"/>
    </row>
    <row r="16" spans="1:12" ht="30" customHeight="1" thickBot="1" x14ac:dyDescent="0.3">
      <c r="A16" s="507" t="s">
        <v>331</v>
      </c>
      <c r="B16" s="508"/>
      <c r="C16" s="508"/>
      <c r="D16" s="508"/>
      <c r="E16" s="508"/>
      <c r="F16" s="508"/>
      <c r="G16" s="508"/>
      <c r="H16" s="508"/>
      <c r="I16" s="508"/>
      <c r="J16" s="509"/>
      <c r="K16" s="23"/>
    </row>
    <row r="17" spans="1:12" x14ac:dyDescent="0.25">
      <c r="A17" s="121" t="s">
        <v>2</v>
      </c>
      <c r="B17" s="679" t="s">
        <v>34</v>
      </c>
      <c r="C17" s="695"/>
      <c r="D17" s="680"/>
      <c r="E17" s="696">
        <v>8.3299999999999999E-2</v>
      </c>
      <c r="F17" s="697"/>
      <c r="G17" s="698"/>
      <c r="H17" s="271">
        <f>E17*E12</f>
        <v>129.550659</v>
      </c>
      <c r="I17" s="271"/>
      <c r="J17" s="271"/>
      <c r="K17" s="23"/>
      <c r="L17" s="23"/>
    </row>
    <row r="18" spans="1:12" x14ac:dyDescent="0.25">
      <c r="A18" s="121" t="s">
        <v>7</v>
      </c>
      <c r="B18" s="679" t="s">
        <v>35</v>
      </c>
      <c r="C18" s="695"/>
      <c r="D18" s="680"/>
      <c r="E18" s="699">
        <v>0.121</v>
      </c>
      <c r="F18" s="700"/>
      <c r="G18" s="701"/>
      <c r="H18" s="271">
        <f>E18*E12</f>
        <v>188.18283</v>
      </c>
      <c r="I18" s="271"/>
      <c r="J18" s="271"/>
      <c r="K18" s="23"/>
      <c r="L18" s="23"/>
    </row>
    <row r="19" spans="1:12" x14ac:dyDescent="0.25">
      <c r="A19" s="687" t="s">
        <v>36</v>
      </c>
      <c r="B19" s="688"/>
      <c r="C19" s="688"/>
      <c r="D19" s="688"/>
      <c r="E19" s="688"/>
      <c r="F19" s="688"/>
      <c r="G19" s="689"/>
      <c r="H19" s="690">
        <f>SUM(H17:J18)</f>
        <v>317.73348899999996</v>
      </c>
      <c r="I19" s="690"/>
      <c r="J19" s="690"/>
      <c r="K19" s="23"/>
      <c r="L19" s="23"/>
    </row>
    <row r="20" spans="1:12" ht="29.25" customHeight="1" thickBot="1" x14ac:dyDescent="0.3">
      <c r="A20" s="21" t="s">
        <v>8</v>
      </c>
      <c r="B20" s="746" t="s">
        <v>37</v>
      </c>
      <c r="C20" s="747"/>
      <c r="D20" s="748"/>
      <c r="E20" s="749">
        <v>7.8200000000000006E-2</v>
      </c>
      <c r="F20" s="750"/>
      <c r="G20" s="751"/>
      <c r="H20" s="752">
        <f>E12*E20</f>
        <v>121.61898600000001</v>
      </c>
      <c r="I20" s="753"/>
      <c r="J20" s="754"/>
      <c r="K20" s="23"/>
      <c r="L20" s="23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23"/>
    </row>
    <row r="22" spans="1:12" x14ac:dyDescent="0.25">
      <c r="A22" s="265" t="s">
        <v>2</v>
      </c>
      <c r="B22" s="267"/>
      <c r="C22" s="676" t="s">
        <v>3</v>
      </c>
      <c r="D22" s="677"/>
      <c r="E22" s="678">
        <v>0.2</v>
      </c>
      <c r="F22" s="678"/>
      <c r="G22" s="678"/>
      <c r="H22" s="271">
        <f>E22*(E12+H19)</f>
        <v>374.5926978</v>
      </c>
      <c r="I22" s="271"/>
      <c r="J22" s="271"/>
      <c r="K22" s="23"/>
      <c r="L22" s="23"/>
    </row>
    <row r="23" spans="1:12" x14ac:dyDescent="0.25">
      <c r="A23" s="265" t="s">
        <v>7</v>
      </c>
      <c r="B23" s="267"/>
      <c r="C23" s="265" t="s">
        <v>41</v>
      </c>
      <c r="D23" s="267"/>
      <c r="E23" s="672">
        <v>2.5000000000000001E-2</v>
      </c>
      <c r="F23" s="672"/>
      <c r="G23" s="672"/>
      <c r="H23" s="271">
        <f>E23*(E12+H19)</f>
        <v>46.824087225</v>
      </c>
      <c r="I23" s="271"/>
      <c r="J23" s="271"/>
      <c r="K23" s="23"/>
      <c r="L23" s="23"/>
    </row>
    <row r="24" spans="1:12" x14ac:dyDescent="0.25">
      <c r="A24" s="265" t="s">
        <v>8</v>
      </c>
      <c r="B24" s="267"/>
      <c r="C24" s="684" t="s">
        <v>42</v>
      </c>
      <c r="D24" s="685"/>
      <c r="E24" s="686">
        <v>0.03</v>
      </c>
      <c r="F24" s="686"/>
      <c r="G24" s="686"/>
      <c r="H24" s="271">
        <f>E24*(E12+H19)</f>
        <v>56.188904669999999</v>
      </c>
      <c r="I24" s="271"/>
      <c r="J24" s="271"/>
      <c r="K24" s="23"/>
      <c r="L24" s="23"/>
    </row>
    <row r="25" spans="1:12" x14ac:dyDescent="0.25">
      <c r="A25" s="265" t="s">
        <v>9</v>
      </c>
      <c r="B25" s="267"/>
      <c r="C25" s="265" t="s">
        <v>43</v>
      </c>
      <c r="D25" s="267"/>
      <c r="E25" s="672">
        <v>1.4999999999999999E-2</v>
      </c>
      <c r="F25" s="672"/>
      <c r="G25" s="672"/>
      <c r="H25" s="271">
        <f>E25*(E12+H19)</f>
        <v>28.094452335</v>
      </c>
      <c r="I25" s="271"/>
      <c r="J25" s="271"/>
      <c r="K25" s="23"/>
      <c r="L25" s="23"/>
    </row>
    <row r="26" spans="1:12" x14ac:dyDescent="0.25">
      <c r="A26" s="265" t="s">
        <v>10</v>
      </c>
      <c r="B26" s="267"/>
      <c r="C26" s="265" t="s">
        <v>44</v>
      </c>
      <c r="D26" s="267"/>
      <c r="E26" s="672">
        <v>0.01</v>
      </c>
      <c r="F26" s="672"/>
      <c r="G26" s="672"/>
      <c r="H26" s="271">
        <f>E26*(E12+H19)</f>
        <v>18.72963489</v>
      </c>
      <c r="I26" s="271"/>
      <c r="J26" s="271"/>
      <c r="K26" s="23"/>
      <c r="L26" s="23"/>
    </row>
    <row r="27" spans="1:12" x14ac:dyDescent="0.25">
      <c r="A27" s="265" t="s">
        <v>11</v>
      </c>
      <c r="B27" s="267"/>
      <c r="C27" s="265" t="s">
        <v>6</v>
      </c>
      <c r="D27" s="267"/>
      <c r="E27" s="672">
        <v>6.0000000000000001E-3</v>
      </c>
      <c r="F27" s="672"/>
      <c r="G27" s="672"/>
      <c r="H27" s="271">
        <f>E27*(E12+H19)</f>
        <v>11.237780934</v>
      </c>
      <c r="I27" s="271"/>
      <c r="J27" s="271"/>
      <c r="K27" s="23"/>
      <c r="L27" s="23"/>
    </row>
    <row r="28" spans="1:12" x14ac:dyDescent="0.25">
      <c r="A28" s="265" t="s">
        <v>39</v>
      </c>
      <c r="B28" s="267"/>
      <c r="C28" s="265" t="s">
        <v>5</v>
      </c>
      <c r="D28" s="267"/>
      <c r="E28" s="672">
        <v>2E-3</v>
      </c>
      <c r="F28" s="672"/>
      <c r="G28" s="672"/>
      <c r="H28" s="271">
        <f>E28*(E12+H19)</f>
        <v>3.745926978</v>
      </c>
      <c r="I28" s="271"/>
      <c r="J28" s="271"/>
      <c r="K28" s="23"/>
      <c r="L28" s="23"/>
    </row>
    <row r="29" spans="1:12" x14ac:dyDescent="0.25">
      <c r="A29" s="679" t="s">
        <v>40</v>
      </c>
      <c r="B29" s="680"/>
      <c r="C29" s="265" t="s">
        <v>4</v>
      </c>
      <c r="D29" s="266"/>
      <c r="E29" s="681">
        <v>0.08</v>
      </c>
      <c r="F29" s="682"/>
      <c r="G29" s="683"/>
      <c r="H29" s="271">
        <f>E29*(E12+H19)</f>
        <v>149.83707912</v>
      </c>
      <c r="I29" s="271"/>
      <c r="J29" s="271"/>
      <c r="K29" s="23"/>
      <c r="L29" s="23"/>
    </row>
    <row r="30" spans="1:12" ht="15.75" thickBot="1" x14ac:dyDescent="0.3">
      <c r="A30" s="656" t="s">
        <v>36</v>
      </c>
      <c r="B30" s="656"/>
      <c r="C30" s="656"/>
      <c r="D30" s="656"/>
      <c r="E30" s="657">
        <f>SUM(E22:G29)</f>
        <v>0.36800000000000005</v>
      </c>
      <c r="F30" s="658"/>
      <c r="G30" s="659"/>
      <c r="H30" s="660">
        <f>SUM(H22:J29)</f>
        <v>689.25056395199999</v>
      </c>
      <c r="I30" s="660"/>
      <c r="J30" s="660"/>
      <c r="K30" s="23"/>
      <c r="L30" s="23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23"/>
    </row>
    <row r="32" spans="1:12" x14ac:dyDescent="0.25">
      <c r="A32" s="265" t="s">
        <v>2</v>
      </c>
      <c r="B32" s="267"/>
      <c r="C32" s="676" t="s">
        <v>46</v>
      </c>
      <c r="D32" s="677"/>
      <c r="E32" s="678"/>
      <c r="F32" s="678"/>
      <c r="G32" s="678"/>
      <c r="H32" s="271">
        <f>(3.9*2*25.5)-6%*E6</f>
        <v>130.6662</v>
      </c>
      <c r="I32" s="271"/>
      <c r="J32" s="271"/>
      <c r="K32" s="23"/>
      <c r="L32" s="23"/>
    </row>
    <row r="33" spans="1:12" x14ac:dyDescent="0.25">
      <c r="A33" s="265" t="s">
        <v>7</v>
      </c>
      <c r="B33" s="267"/>
      <c r="C33" s="265" t="s">
        <v>47</v>
      </c>
      <c r="D33" s="267"/>
      <c r="E33" s="672"/>
      <c r="F33" s="672"/>
      <c r="G33" s="672"/>
      <c r="H33" s="271">
        <f>(21.63*25.5)-20%</f>
        <v>551.3649999999999</v>
      </c>
      <c r="I33" s="271"/>
      <c r="J33" s="271"/>
      <c r="K33" s="23"/>
      <c r="L33" s="23"/>
    </row>
    <row r="34" spans="1:12" x14ac:dyDescent="0.25">
      <c r="A34" s="265" t="s">
        <v>8</v>
      </c>
      <c r="B34" s="267"/>
      <c r="C34" s="284" t="s">
        <v>49</v>
      </c>
      <c r="D34" s="286"/>
      <c r="E34" s="672"/>
      <c r="F34" s="672"/>
      <c r="G34" s="672"/>
      <c r="H34" s="271">
        <v>36.57</v>
      </c>
      <c r="I34" s="271"/>
      <c r="J34" s="271"/>
      <c r="K34" s="23"/>
      <c r="L34" s="23"/>
    </row>
    <row r="35" spans="1:12" x14ac:dyDescent="0.25">
      <c r="A35" s="265" t="s">
        <v>9</v>
      </c>
      <c r="B35" s="267"/>
      <c r="C35" s="342" t="s">
        <v>28</v>
      </c>
      <c r="D35" s="343"/>
      <c r="E35" s="672"/>
      <c r="F35" s="672"/>
      <c r="G35" s="672"/>
      <c r="H35" s="271">
        <v>25.95</v>
      </c>
      <c r="I35" s="271"/>
      <c r="J35" s="271"/>
      <c r="K35" s="23"/>
      <c r="L35" s="23"/>
    </row>
    <row r="36" spans="1:12" ht="15.75" thickBot="1" x14ac:dyDescent="0.3">
      <c r="A36" s="673" t="s">
        <v>38</v>
      </c>
      <c r="B36" s="674"/>
      <c r="C36" s="674"/>
      <c r="D36" s="674"/>
      <c r="E36" s="674"/>
      <c r="F36" s="674"/>
      <c r="G36" s="675"/>
      <c r="H36" s="655">
        <f>SUM(H32:J35)</f>
        <v>744.55119999999999</v>
      </c>
      <c r="I36" s="655"/>
      <c r="J36" s="655"/>
      <c r="K36" s="23"/>
      <c r="L36" s="23"/>
    </row>
    <row r="37" spans="1:12" ht="15.75" thickBot="1" x14ac:dyDescent="0.3">
      <c r="A37" s="645" t="s">
        <v>72</v>
      </c>
      <c r="B37" s="646"/>
      <c r="C37" s="646"/>
      <c r="D37" s="745"/>
      <c r="E37" s="648">
        <f>H19+H30+H36</f>
        <v>1751.5352529520001</v>
      </c>
      <c r="F37" s="649"/>
      <c r="G37" s="649"/>
      <c r="H37" s="649"/>
      <c r="I37" s="649"/>
      <c r="J37" s="650"/>
      <c r="K37" s="23"/>
      <c r="L37" s="23"/>
    </row>
    <row r="38" spans="1:12" ht="9.75" customHeight="1" thickBot="1" x14ac:dyDescent="0.3">
      <c r="A38" s="669"/>
      <c r="B38" s="670"/>
      <c r="C38" s="670"/>
      <c r="D38" s="670"/>
      <c r="E38" s="670"/>
      <c r="F38" s="670"/>
      <c r="G38" s="670"/>
      <c r="H38" s="670"/>
      <c r="I38" s="670"/>
      <c r="J38" s="671"/>
      <c r="K38" s="23"/>
      <c r="L38" s="23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23"/>
    </row>
    <row r="40" spans="1:12" x14ac:dyDescent="0.25">
      <c r="A40" s="314" t="s">
        <v>2</v>
      </c>
      <c r="B40" s="315"/>
      <c r="C40" s="314" t="s">
        <v>51</v>
      </c>
      <c r="D40" s="315"/>
      <c r="E40" s="49"/>
      <c r="F40" s="51"/>
      <c r="G40" s="50"/>
      <c r="H40" s="316">
        <f>E12/12*5%</f>
        <v>6.4801250000000001</v>
      </c>
      <c r="I40" s="317"/>
      <c r="J40" s="315"/>
      <c r="K40" s="23"/>
      <c r="L40" s="23"/>
    </row>
    <row r="41" spans="1:12" x14ac:dyDescent="0.25">
      <c r="A41" s="314" t="s">
        <v>7</v>
      </c>
      <c r="B41" s="315"/>
      <c r="C41" s="314" t="s">
        <v>52</v>
      </c>
      <c r="D41" s="315"/>
      <c r="E41" s="49"/>
      <c r="F41" s="51"/>
      <c r="G41" s="50"/>
      <c r="H41" s="316">
        <f>H40*8%</f>
        <v>0.51841000000000004</v>
      </c>
      <c r="I41" s="317"/>
      <c r="J41" s="315"/>
      <c r="K41" s="23"/>
      <c r="L41" s="23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271">
        <f>E42*E12</f>
        <v>0</v>
      </c>
      <c r="I42" s="271"/>
      <c r="J42" s="271"/>
      <c r="K42" s="23"/>
      <c r="L42" s="23"/>
    </row>
    <row r="43" spans="1:12" x14ac:dyDescent="0.25">
      <c r="A43" s="232" t="s">
        <v>9</v>
      </c>
      <c r="B43" s="232"/>
      <c r="C43" s="265" t="s">
        <v>54</v>
      </c>
      <c r="D43" s="267"/>
      <c r="E43" s="341"/>
      <c r="F43" s="341"/>
      <c r="G43" s="341"/>
      <c r="H43" s="271">
        <f>E12/30/12*7*100%</f>
        <v>30.240583333333337</v>
      </c>
      <c r="I43" s="271"/>
      <c r="J43" s="271"/>
      <c r="K43" s="23"/>
      <c r="L43" s="23"/>
    </row>
    <row r="44" spans="1:12" ht="30.75" customHeight="1" x14ac:dyDescent="0.25">
      <c r="A44" s="232" t="s">
        <v>10</v>
      </c>
      <c r="B44" s="232"/>
      <c r="C44" s="342" t="s">
        <v>83</v>
      </c>
      <c r="D44" s="343"/>
      <c r="E44" s="341"/>
      <c r="F44" s="341"/>
      <c r="G44" s="341"/>
      <c r="H44" s="271">
        <f>H43*39.8%</f>
        <v>12.035752166666667</v>
      </c>
      <c r="I44" s="271"/>
      <c r="J44" s="271"/>
      <c r="K44" s="23"/>
      <c r="L44" s="23"/>
    </row>
    <row r="45" spans="1:12" ht="30.75" customHeight="1" thickBot="1" x14ac:dyDescent="0.3">
      <c r="A45" s="634" t="s">
        <v>11</v>
      </c>
      <c r="B45" s="635"/>
      <c r="C45" s="755" t="s">
        <v>53</v>
      </c>
      <c r="D45" s="756"/>
      <c r="E45" s="663"/>
      <c r="F45" s="664"/>
      <c r="G45" s="665"/>
      <c r="H45" s="666">
        <f>E12*5%</f>
        <v>77.761500000000012</v>
      </c>
      <c r="I45" s="667"/>
      <c r="J45" s="668"/>
      <c r="K45" s="23"/>
      <c r="L45" s="23"/>
    </row>
    <row r="46" spans="1:12" ht="15.75" thickBot="1" x14ac:dyDescent="0.3">
      <c r="A46" s="638" t="s">
        <v>333</v>
      </c>
      <c r="B46" s="639"/>
      <c r="C46" s="639"/>
      <c r="D46" s="639"/>
      <c r="E46" s="639"/>
      <c r="F46" s="639"/>
      <c r="G46" s="640"/>
      <c r="H46" s="641">
        <f>SUM(H40:J45)</f>
        <v>127.03637050000002</v>
      </c>
      <c r="I46" s="642"/>
      <c r="J46" s="643"/>
      <c r="K46" s="23"/>
      <c r="L46" s="23"/>
    </row>
    <row r="47" spans="1:12" ht="9" customHeight="1" thickBot="1" x14ac:dyDescent="0.3">
      <c r="E47" s="17"/>
      <c r="F47" s="17"/>
      <c r="G47" s="17"/>
      <c r="H47" s="18"/>
      <c r="I47" s="18"/>
      <c r="J47" s="18"/>
      <c r="K47" s="23"/>
      <c r="L47" s="23"/>
    </row>
    <row r="48" spans="1:12" ht="30" customHeight="1" thickBot="1" x14ac:dyDescent="0.3">
      <c r="A48" s="494" t="s">
        <v>317</v>
      </c>
      <c r="B48" s="495"/>
      <c r="C48" s="495"/>
      <c r="D48" s="495"/>
      <c r="E48" s="495"/>
      <c r="F48" s="495"/>
      <c r="G48" s="495"/>
      <c r="H48" s="495"/>
      <c r="I48" s="495"/>
      <c r="J48" s="496"/>
      <c r="K48" s="23"/>
    </row>
    <row r="49" spans="1:12" x14ac:dyDescent="0.25">
      <c r="A49" s="314" t="s">
        <v>2</v>
      </c>
      <c r="B49" s="315"/>
      <c r="C49" s="314" t="s">
        <v>56</v>
      </c>
      <c r="D49" s="315"/>
      <c r="E49" s="49"/>
      <c r="F49" s="51"/>
      <c r="G49" s="50"/>
      <c r="H49" s="316">
        <f>E20/12*5%</f>
        <v>3.2583333333333336E-4</v>
      </c>
      <c r="I49" s="317"/>
      <c r="J49" s="315"/>
      <c r="K49" s="23"/>
      <c r="L49" s="23"/>
    </row>
    <row r="50" spans="1:12" x14ac:dyDescent="0.25">
      <c r="A50" s="314" t="s">
        <v>7</v>
      </c>
      <c r="B50" s="315"/>
      <c r="C50" s="314" t="s">
        <v>57</v>
      </c>
      <c r="D50" s="315"/>
      <c r="E50" s="49"/>
      <c r="F50" s="51"/>
      <c r="G50" s="50"/>
      <c r="H50" s="316">
        <f>E12/30/12</f>
        <v>4.3200833333333337</v>
      </c>
      <c r="I50" s="317"/>
      <c r="J50" s="315"/>
      <c r="K50" s="23"/>
      <c r="L50" s="23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271">
        <f>E12/30/12*5*1.5%</f>
        <v>0.32400625</v>
      </c>
      <c r="I51" s="271"/>
      <c r="J51" s="271"/>
      <c r="K51" s="23"/>
      <c r="L51" s="23"/>
    </row>
    <row r="52" spans="1:12" ht="31.5" customHeight="1" x14ac:dyDescent="0.25">
      <c r="A52" s="232" t="s">
        <v>9</v>
      </c>
      <c r="B52" s="232"/>
      <c r="C52" s="661" t="s">
        <v>59</v>
      </c>
      <c r="D52" s="662"/>
      <c r="E52" s="341"/>
      <c r="F52" s="341"/>
      <c r="G52" s="341"/>
      <c r="H52" s="271">
        <f>E12/30/12*15*8%</f>
        <v>5.1841000000000008</v>
      </c>
      <c r="I52" s="271"/>
      <c r="J52" s="271"/>
      <c r="K52" s="23"/>
      <c r="L52" s="23"/>
    </row>
    <row r="53" spans="1:12" x14ac:dyDescent="0.25">
      <c r="A53" s="232" t="s">
        <v>10</v>
      </c>
      <c r="B53" s="232"/>
      <c r="C53" s="342" t="s">
        <v>60</v>
      </c>
      <c r="D53" s="343"/>
      <c r="E53" s="341"/>
      <c r="F53" s="341"/>
      <c r="G53" s="341"/>
      <c r="H53" s="271">
        <f>E20*5%</f>
        <v>3.9100000000000003E-3</v>
      </c>
      <c r="I53" s="271"/>
      <c r="J53" s="271"/>
      <c r="K53" s="23"/>
      <c r="L53" s="23"/>
    </row>
    <row r="54" spans="1:12" x14ac:dyDescent="0.25">
      <c r="A54" s="232" t="s">
        <v>11</v>
      </c>
      <c r="B54" s="232"/>
      <c r="C54" s="342" t="s">
        <v>61</v>
      </c>
      <c r="D54" s="343"/>
      <c r="E54" s="341"/>
      <c r="F54" s="341"/>
      <c r="G54" s="341"/>
      <c r="H54" s="271">
        <f>E12/30/12*5*40%</f>
        <v>8.6401666666666674</v>
      </c>
      <c r="I54" s="271"/>
      <c r="J54" s="271"/>
      <c r="K54" s="23"/>
      <c r="L54" s="23"/>
    </row>
    <row r="55" spans="1:12" ht="30" customHeight="1" x14ac:dyDescent="0.25">
      <c r="A55" s="232" t="s">
        <v>39</v>
      </c>
      <c r="B55" s="232"/>
      <c r="C55" s="342" t="s">
        <v>62</v>
      </c>
      <c r="D55" s="343"/>
      <c r="E55" s="341"/>
      <c r="F55" s="341"/>
      <c r="G55" s="341"/>
      <c r="H55" s="271">
        <f>SUM(H49:J54)*39.8%</f>
        <v>7.3520916491666668</v>
      </c>
      <c r="I55" s="271"/>
      <c r="J55" s="271"/>
      <c r="K55" s="23"/>
      <c r="L55" s="23"/>
    </row>
    <row r="56" spans="1:12" ht="15.75" thickBot="1" x14ac:dyDescent="0.3">
      <c r="A56" s="656" t="s">
        <v>36</v>
      </c>
      <c r="B56" s="656"/>
      <c r="C56" s="656"/>
      <c r="D56" s="656"/>
      <c r="E56" s="657"/>
      <c r="F56" s="658"/>
      <c r="G56" s="659"/>
      <c r="H56" s="660">
        <f>SUM(H49:J55)</f>
        <v>25.824683732500002</v>
      </c>
      <c r="I56" s="660"/>
      <c r="J56" s="660"/>
      <c r="K56" s="23"/>
      <c r="L56" s="23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23"/>
    </row>
    <row r="58" spans="1:12" ht="32.25" customHeight="1" x14ac:dyDescent="0.25">
      <c r="A58" s="314" t="s">
        <v>2</v>
      </c>
      <c r="B58" s="315"/>
      <c r="C58" s="344" t="s">
        <v>64</v>
      </c>
      <c r="D58" s="345"/>
      <c r="E58" s="49"/>
      <c r="F58" s="51"/>
      <c r="G58" s="50"/>
      <c r="H58" s="316">
        <f>((((E12+(E12/3))*0.3333)/12)*2%)</f>
        <v>1.1519070199999999</v>
      </c>
      <c r="I58" s="317"/>
      <c r="J58" s="315"/>
      <c r="K58" s="23"/>
      <c r="L58" s="23"/>
    </row>
    <row r="59" spans="1:12" ht="31.5" customHeight="1" x14ac:dyDescent="0.25">
      <c r="A59" s="314" t="s">
        <v>7</v>
      </c>
      <c r="B59" s="315"/>
      <c r="C59" s="344" t="s">
        <v>65</v>
      </c>
      <c r="D59" s="345"/>
      <c r="E59" s="49"/>
      <c r="F59" s="51"/>
      <c r="G59" s="50"/>
      <c r="H59" s="316">
        <f>H58*39.8%</f>
        <v>0.45845899395999989</v>
      </c>
      <c r="I59" s="317"/>
      <c r="J59" s="315"/>
      <c r="K59" s="23"/>
      <c r="L59" s="23"/>
    </row>
    <row r="60" spans="1:12" ht="43.5" customHeight="1" x14ac:dyDescent="0.25">
      <c r="A60" s="318" t="s">
        <v>8</v>
      </c>
      <c r="B60" s="319"/>
      <c r="C60" s="344" t="s">
        <v>66</v>
      </c>
      <c r="D60" s="345"/>
      <c r="E60" s="322"/>
      <c r="F60" s="323"/>
      <c r="G60" s="324"/>
      <c r="H60" s="271">
        <f>(((E12+H17)*0.333)*2%)*39.8%</f>
        <v>4.4658143971981206</v>
      </c>
      <c r="I60" s="271"/>
      <c r="J60" s="271"/>
      <c r="K60" s="23"/>
      <c r="L60" s="23"/>
    </row>
    <row r="61" spans="1:12" x14ac:dyDescent="0.25">
      <c r="A61" s="232" t="s">
        <v>9</v>
      </c>
      <c r="B61" s="232"/>
      <c r="C61" s="265" t="s">
        <v>67</v>
      </c>
      <c r="D61" s="267"/>
      <c r="E61" s="341"/>
      <c r="F61" s="341"/>
      <c r="G61" s="341"/>
      <c r="H61" s="271"/>
      <c r="I61" s="271"/>
      <c r="J61" s="271"/>
      <c r="K61" s="23"/>
      <c r="L61" s="23"/>
    </row>
    <row r="62" spans="1:12" ht="15.75" thickBot="1" x14ac:dyDescent="0.3">
      <c r="A62" s="656" t="s">
        <v>36</v>
      </c>
      <c r="B62" s="656"/>
      <c r="C62" s="656"/>
      <c r="D62" s="656"/>
      <c r="E62" s="657"/>
      <c r="F62" s="658"/>
      <c r="G62" s="659"/>
      <c r="H62" s="660">
        <f>SUM(H58:J61)</f>
        <v>6.0761804111581199</v>
      </c>
      <c r="I62" s="660"/>
      <c r="J62" s="660"/>
      <c r="K62" s="23"/>
      <c r="L62" s="23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23"/>
    </row>
    <row r="64" spans="1:12" ht="33" customHeight="1" x14ac:dyDescent="0.25">
      <c r="A64" s="314" t="s">
        <v>2</v>
      </c>
      <c r="B64" s="315"/>
      <c r="C64" s="344" t="s">
        <v>69</v>
      </c>
      <c r="D64" s="345"/>
      <c r="E64" s="49"/>
      <c r="F64" s="51"/>
      <c r="G64" s="50"/>
      <c r="H64" s="316">
        <f>((((E18+(E18/3))*0.3333)/12)*2%)</f>
        <v>8.9620666666666654E-5</v>
      </c>
      <c r="I64" s="317"/>
      <c r="J64" s="315"/>
      <c r="K64" s="23"/>
      <c r="L64" s="23"/>
    </row>
    <row r="65" spans="1:12" ht="29.25" customHeight="1" x14ac:dyDescent="0.25">
      <c r="A65" s="314" t="s">
        <v>7</v>
      </c>
      <c r="B65" s="315"/>
      <c r="C65" s="344" t="s">
        <v>70</v>
      </c>
      <c r="D65" s="345"/>
      <c r="E65" s="49"/>
      <c r="F65" s="51"/>
      <c r="G65" s="50"/>
      <c r="H65" s="316">
        <f>H64*39.8%</f>
        <v>3.5669025333333325E-5</v>
      </c>
      <c r="I65" s="317"/>
      <c r="J65" s="315"/>
      <c r="K65" s="23"/>
      <c r="L65" s="23"/>
    </row>
    <row r="66" spans="1:12" ht="15.75" thickBot="1" x14ac:dyDescent="0.3">
      <c r="A66" s="651" t="s">
        <v>36</v>
      </c>
      <c r="B66" s="651"/>
      <c r="C66" s="651"/>
      <c r="D66" s="651"/>
      <c r="E66" s="652"/>
      <c r="F66" s="653"/>
      <c r="G66" s="654"/>
      <c r="H66" s="655">
        <f>SUM(H64:J65)</f>
        <v>1.2528969199999997E-4</v>
      </c>
      <c r="I66" s="655"/>
      <c r="J66" s="655"/>
      <c r="K66" s="23"/>
      <c r="L66" s="23"/>
    </row>
    <row r="67" spans="1:12" ht="15.75" thickBot="1" x14ac:dyDescent="0.3">
      <c r="A67" s="645" t="s">
        <v>71</v>
      </c>
      <c r="B67" s="646"/>
      <c r="C67" s="646"/>
      <c r="D67" s="745"/>
      <c r="E67" s="648">
        <f>H66+H62+H56</f>
        <v>31.900989433350123</v>
      </c>
      <c r="F67" s="649"/>
      <c r="G67" s="649"/>
      <c r="H67" s="649"/>
      <c r="I67" s="649"/>
      <c r="J67" s="650"/>
      <c r="K67" s="23"/>
      <c r="L67" s="23"/>
    </row>
    <row r="68" spans="1:12" ht="9.75" customHeight="1" thickBo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  <c r="L68" s="23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23"/>
    </row>
    <row r="70" spans="1:12" x14ac:dyDescent="0.25">
      <c r="A70" s="314" t="s">
        <v>2</v>
      </c>
      <c r="B70" s="315"/>
      <c r="C70" s="314" t="s">
        <v>74</v>
      </c>
      <c r="D70" s="315"/>
      <c r="E70" s="314"/>
      <c r="F70" s="317"/>
      <c r="G70" s="315"/>
      <c r="H70" s="316">
        <v>300</v>
      </c>
      <c r="I70" s="317"/>
      <c r="J70" s="315"/>
      <c r="K70" s="23"/>
      <c r="L70" s="23"/>
    </row>
    <row r="71" spans="1:12" x14ac:dyDescent="0.25">
      <c r="A71" s="314" t="s">
        <v>7</v>
      </c>
      <c r="B71" s="315"/>
      <c r="C71" s="314" t="s">
        <v>75</v>
      </c>
      <c r="D71" s="315"/>
      <c r="E71" s="49"/>
      <c r="F71" s="51"/>
      <c r="G71" s="50"/>
      <c r="H71" s="316">
        <v>5</v>
      </c>
      <c r="I71" s="317"/>
      <c r="J71" s="315"/>
      <c r="K71" s="23"/>
      <c r="L71" s="23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271">
        <v>43.5</v>
      </c>
      <c r="I72" s="271"/>
      <c r="J72" s="271"/>
      <c r="K72" s="23"/>
      <c r="L72" s="23"/>
    </row>
    <row r="73" spans="1:12" ht="15.75" thickBot="1" x14ac:dyDescent="0.3">
      <c r="A73" s="633" t="s">
        <v>9</v>
      </c>
      <c r="B73" s="633"/>
      <c r="C73" s="634" t="s">
        <v>28</v>
      </c>
      <c r="D73" s="635"/>
      <c r="E73" s="636"/>
      <c r="F73" s="636"/>
      <c r="G73" s="636"/>
      <c r="H73" s="637">
        <v>5</v>
      </c>
      <c r="I73" s="637"/>
      <c r="J73" s="637"/>
      <c r="K73" s="23"/>
      <c r="L73" s="23"/>
    </row>
    <row r="74" spans="1:12" ht="15.75" thickBot="1" x14ac:dyDescent="0.3">
      <c r="A74" s="638" t="s">
        <v>336</v>
      </c>
      <c r="B74" s="639"/>
      <c r="C74" s="639"/>
      <c r="D74" s="639"/>
      <c r="E74" s="639"/>
      <c r="F74" s="639"/>
      <c r="G74" s="640"/>
      <c r="H74" s="641">
        <f>SUM(H70:J73)</f>
        <v>353.5</v>
      </c>
      <c r="I74" s="642"/>
      <c r="J74" s="643"/>
      <c r="K74" s="23"/>
      <c r="L74" s="23"/>
    </row>
    <row r="75" spans="1:12" ht="9.75" customHeight="1" thickBot="1" x14ac:dyDescent="0.3">
      <c r="E75" s="17"/>
      <c r="F75" s="17"/>
      <c r="G75" s="17"/>
      <c r="H75" s="18"/>
      <c r="I75" s="18"/>
      <c r="J75" s="18"/>
      <c r="K75" s="23"/>
      <c r="L75" s="23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23"/>
    </row>
    <row r="77" spans="1:12" x14ac:dyDescent="0.25">
      <c r="A77" s="314" t="s">
        <v>2</v>
      </c>
      <c r="B77" s="315"/>
      <c r="C77" s="314" t="s">
        <v>77</v>
      </c>
      <c r="D77" s="315"/>
      <c r="E77" s="644">
        <v>7.0000000000000007E-2</v>
      </c>
      <c r="F77" s="317"/>
      <c r="G77" s="315"/>
      <c r="H77" s="316">
        <f>(H74+E67+H46+E37+E12)*E77</f>
        <v>267.34418290197453</v>
      </c>
      <c r="I77" s="317"/>
      <c r="J77" s="315"/>
      <c r="K77" s="23"/>
      <c r="L77" s="23"/>
    </row>
    <row r="78" spans="1:12" x14ac:dyDescent="0.25">
      <c r="A78" s="314" t="s">
        <v>7</v>
      </c>
      <c r="B78" s="315"/>
      <c r="C78" s="314" t="s">
        <v>12</v>
      </c>
      <c r="D78" s="315"/>
      <c r="E78" s="644">
        <v>7.5774185115783349E-2</v>
      </c>
      <c r="F78" s="317"/>
      <c r="G78" s="315"/>
      <c r="H78" s="316">
        <f>E78*(H74+E67+H46+E37+E12)</f>
        <v>289.39696578345797</v>
      </c>
      <c r="I78" s="317"/>
      <c r="J78" s="315"/>
      <c r="K78" s="23"/>
      <c r="L78" s="23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271">
        <f>(H74+E67+H46+E37+E12)/E79</f>
        <v>4453.8805981170262</v>
      </c>
      <c r="I79" s="271"/>
      <c r="J79" s="271"/>
      <c r="K79" s="23"/>
      <c r="L79" s="23"/>
    </row>
    <row r="80" spans="1:12" x14ac:dyDescent="0.25">
      <c r="A80" s="232" t="s">
        <v>9</v>
      </c>
      <c r="B80" s="232"/>
      <c r="C80" s="265" t="s">
        <v>79</v>
      </c>
      <c r="D80" s="267"/>
      <c r="E80" s="341">
        <v>1.6500000000000001E-2</v>
      </c>
      <c r="F80" s="341"/>
      <c r="G80" s="341"/>
      <c r="H80" s="271">
        <f>E80*H87</f>
        <v>54.550980000000003</v>
      </c>
      <c r="I80" s="271"/>
      <c r="J80" s="271"/>
      <c r="K80" s="23"/>
      <c r="L80" s="23"/>
    </row>
    <row r="81" spans="1:12" x14ac:dyDescent="0.25">
      <c r="A81" s="232" t="s">
        <v>9</v>
      </c>
      <c r="B81" s="232"/>
      <c r="C81" s="265" t="s">
        <v>80</v>
      </c>
      <c r="D81" s="267"/>
      <c r="E81" s="341">
        <v>7.5999999999999998E-2</v>
      </c>
      <c r="F81" s="341"/>
      <c r="G81" s="341"/>
      <c r="H81" s="271">
        <f>E81*H87</f>
        <v>251.26512</v>
      </c>
      <c r="I81" s="271"/>
      <c r="J81" s="271"/>
      <c r="K81" s="23"/>
      <c r="L81" s="23"/>
    </row>
    <row r="82" spans="1:12" x14ac:dyDescent="0.25">
      <c r="A82" s="232" t="s">
        <v>10</v>
      </c>
      <c r="B82" s="232"/>
      <c r="C82" s="265" t="s">
        <v>81</v>
      </c>
      <c r="D82" s="267"/>
      <c r="E82" s="341"/>
      <c r="F82" s="341"/>
      <c r="G82" s="341"/>
      <c r="H82" s="271"/>
      <c r="I82" s="271"/>
      <c r="J82" s="271"/>
      <c r="K82" s="23"/>
      <c r="L82" s="23"/>
    </row>
    <row r="83" spans="1:12" ht="15.75" thickBot="1" x14ac:dyDescent="0.3">
      <c r="A83" s="633" t="s">
        <v>11</v>
      </c>
      <c r="B83" s="633"/>
      <c r="C83" s="634" t="s">
        <v>82</v>
      </c>
      <c r="D83" s="635"/>
      <c r="E83" s="636">
        <v>0.05</v>
      </c>
      <c r="F83" s="636"/>
      <c r="G83" s="636"/>
      <c r="H83" s="637">
        <f>E83*H87</f>
        <v>165.30600000000001</v>
      </c>
      <c r="I83" s="637"/>
      <c r="J83" s="637"/>
      <c r="K83" s="23"/>
      <c r="L83" s="23"/>
    </row>
    <row r="84" spans="1:12" ht="15.75" thickBot="1" x14ac:dyDescent="0.3">
      <c r="A84" s="638" t="s">
        <v>340</v>
      </c>
      <c r="B84" s="639"/>
      <c r="C84" s="639"/>
      <c r="D84" s="639"/>
      <c r="E84" s="639"/>
      <c r="F84" s="639"/>
      <c r="G84" s="640"/>
      <c r="H84" s="760">
        <f>H77+H78+H80+H81+H83</f>
        <v>1027.8632486854326</v>
      </c>
      <c r="I84" s="642"/>
      <c r="J84" s="643"/>
      <c r="K84" s="23"/>
      <c r="L84" s="23"/>
    </row>
    <row r="85" spans="1:12" ht="9.75" customHeight="1" thickBot="1" x14ac:dyDescent="0.3">
      <c r="E85" s="17"/>
      <c r="F85" s="17"/>
      <c r="G85" s="17"/>
      <c r="H85" s="18"/>
      <c r="I85" s="18"/>
      <c r="J85" s="18"/>
      <c r="K85" s="23"/>
      <c r="L85" s="23"/>
    </row>
    <row r="86" spans="1:12" ht="15.75" thickBot="1" x14ac:dyDescent="0.3">
      <c r="A86" s="627" t="s">
        <v>85</v>
      </c>
      <c r="B86" s="628"/>
      <c r="C86" s="628"/>
      <c r="D86" s="628"/>
      <c r="E86" s="628"/>
      <c r="F86" s="628"/>
      <c r="G86" s="629"/>
      <c r="H86" s="757">
        <f>SUM(H84+H74+E67+H46+E37+E12)</f>
        <v>4847.0658615707835</v>
      </c>
      <c r="I86" s="758"/>
      <c r="J86" s="759"/>
    </row>
    <row r="87" spans="1:12" ht="15.75" thickBot="1" x14ac:dyDescent="0.3">
      <c r="H87" s="126">
        <v>3306.12</v>
      </c>
      <c r="I87" s="126"/>
      <c r="J87" s="126"/>
    </row>
  </sheetData>
  <mergeCells count="230">
    <mergeCell ref="A1:J1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6337778862885"/>
  </sheetPr>
  <dimension ref="A1:L87"/>
  <sheetViews>
    <sheetView topLeftCell="A67" workbookViewId="0">
      <selection activeCell="L60" sqref="L60"/>
    </sheetView>
  </sheetViews>
  <sheetFormatPr defaultRowHeight="15" x14ac:dyDescent="0.25"/>
  <cols>
    <col min="1" max="1" width="7.42578125" style="134" bestFit="1" customWidth="1"/>
    <col min="2" max="2" width="2" style="134" bestFit="1" customWidth="1"/>
    <col min="3" max="3" width="6.42578125" style="134" customWidth="1"/>
    <col min="4" max="4" width="45.7109375" style="134" customWidth="1"/>
    <col min="5" max="5" width="3.7109375" style="134" customWidth="1"/>
    <col min="6" max="6" width="2.5703125" style="134" customWidth="1"/>
    <col min="7" max="7" width="4.28515625" style="134" customWidth="1"/>
    <col min="8" max="8" width="5.5703125" style="134" customWidth="1"/>
    <col min="9" max="9" width="3.28515625" style="134" customWidth="1"/>
    <col min="10" max="10" width="3.14062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31.5" customHeight="1" thickBot="1" x14ac:dyDescent="0.3">
      <c r="A2" s="554" t="s">
        <v>0</v>
      </c>
      <c r="B2" s="555"/>
      <c r="C2" s="556"/>
      <c r="D2" s="737" t="s">
        <v>349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  <c r="L5" s="136"/>
    </row>
    <row r="6" spans="1:12" x14ac:dyDescent="0.25">
      <c r="A6" s="123" t="s">
        <v>2</v>
      </c>
      <c r="B6" s="606" t="s">
        <v>1</v>
      </c>
      <c r="C6" s="607"/>
      <c r="D6" s="608"/>
      <c r="E6" s="567">
        <v>1137.23</v>
      </c>
      <c r="F6" s="568"/>
      <c r="G6" s="568"/>
      <c r="H6" s="568"/>
      <c r="I6" s="568"/>
      <c r="J6" s="568"/>
      <c r="K6" s="136"/>
      <c r="L6" s="136"/>
    </row>
    <row r="7" spans="1:12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36"/>
      <c r="L7" s="136"/>
    </row>
    <row r="8" spans="1:12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36"/>
      <c r="L8" s="136"/>
    </row>
    <row r="9" spans="1:12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36"/>
      <c r="L9" s="136"/>
    </row>
    <row r="10" spans="1:12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36"/>
      <c r="L10" s="136"/>
    </row>
    <row r="11" spans="1:12" ht="27.75" customHeight="1" thickBot="1" x14ac:dyDescent="0.3">
      <c r="A11" s="125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36"/>
      <c r="L11" s="136"/>
    </row>
    <row r="12" spans="1:12" ht="15.75" thickBot="1" x14ac:dyDescent="0.3">
      <c r="A12" s="458" t="s">
        <v>330</v>
      </c>
      <c r="B12" s="459"/>
      <c r="C12" s="459"/>
      <c r="D12" s="725"/>
      <c r="E12" s="547">
        <f>SUM(E6:J11)</f>
        <v>1137.23</v>
      </c>
      <c r="F12" s="485"/>
      <c r="G12" s="485"/>
      <c r="H12" s="485"/>
      <c r="I12" s="485"/>
      <c r="J12" s="486"/>
      <c r="K12" s="136"/>
      <c r="L12" s="136"/>
    </row>
    <row r="13" spans="1:12" ht="30" customHeight="1" x14ac:dyDescent="0.25">
      <c r="A13" s="551" t="s">
        <v>29</v>
      </c>
      <c r="B13" s="715"/>
      <c r="C13" s="715"/>
      <c r="D13" s="716"/>
      <c r="E13" s="548">
        <f>E12*E30</f>
        <v>418.50064000000009</v>
      </c>
      <c r="F13" s="549"/>
      <c r="G13" s="549"/>
      <c r="H13" s="549"/>
      <c r="I13" s="549"/>
      <c r="J13" s="550"/>
      <c r="K13" s="136"/>
      <c r="L13" s="136"/>
    </row>
    <row r="14" spans="1:12" ht="9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  <c r="L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350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3" t="s">
        <v>2</v>
      </c>
      <c r="B17" s="532" t="s">
        <v>34</v>
      </c>
      <c r="C17" s="726"/>
      <c r="D17" s="533"/>
      <c r="E17" s="727">
        <v>8.3299999999999999E-2</v>
      </c>
      <c r="F17" s="728"/>
      <c r="G17" s="729"/>
      <c r="H17" s="450">
        <f>E17*E12</f>
        <v>94.731258999999994</v>
      </c>
      <c r="I17" s="450"/>
      <c r="J17" s="450"/>
      <c r="K17" s="136"/>
      <c r="L17" s="136"/>
    </row>
    <row r="18" spans="1:12" x14ac:dyDescent="0.25">
      <c r="A18" s="123" t="s">
        <v>7</v>
      </c>
      <c r="B18" s="532" t="s">
        <v>35</v>
      </c>
      <c r="C18" s="726"/>
      <c r="D18" s="533"/>
      <c r="E18" s="692">
        <v>0.121</v>
      </c>
      <c r="F18" s="693"/>
      <c r="G18" s="694"/>
      <c r="H18" s="450">
        <f>E18*E12</f>
        <v>137.60482999999999</v>
      </c>
      <c r="I18" s="450"/>
      <c r="J18" s="450"/>
      <c r="K18" s="136"/>
      <c r="L18" s="136"/>
    </row>
    <row r="19" spans="1:12" x14ac:dyDescent="0.25">
      <c r="A19" s="761" t="s">
        <v>36</v>
      </c>
      <c r="B19" s="762"/>
      <c r="C19" s="762"/>
      <c r="D19" s="762"/>
      <c r="E19" s="762"/>
      <c r="F19" s="762"/>
      <c r="G19" s="763"/>
      <c r="H19" s="764">
        <f>SUM(H17:J18)</f>
        <v>232.33608899999999</v>
      </c>
      <c r="I19" s="764"/>
      <c r="J19" s="764"/>
      <c r="K19" s="136"/>
      <c r="L19" s="136"/>
    </row>
    <row r="20" spans="1:12" ht="27.75" customHeight="1" thickBot="1" x14ac:dyDescent="0.3">
      <c r="A20" s="123" t="s">
        <v>8</v>
      </c>
      <c r="B20" s="478" t="s">
        <v>37</v>
      </c>
      <c r="C20" s="691"/>
      <c r="D20" s="479"/>
      <c r="E20" s="692">
        <v>7.8200000000000006E-2</v>
      </c>
      <c r="F20" s="693"/>
      <c r="G20" s="694"/>
      <c r="H20" s="290">
        <f>E12*E20</f>
        <v>88.931386000000003</v>
      </c>
      <c r="I20" s="291"/>
      <c r="J20" s="292"/>
      <c r="K20" s="136"/>
      <c r="L20" s="136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273.91321779999998</v>
      </c>
      <c r="I22" s="450"/>
      <c r="J22" s="450"/>
      <c r="K22" s="136"/>
      <c r="L22" s="136"/>
    </row>
    <row r="23" spans="1:12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34.239152224999998</v>
      </c>
      <c r="I23" s="450"/>
      <c r="J23" s="450"/>
      <c r="K23" s="136"/>
      <c r="L23" s="136"/>
    </row>
    <row r="24" spans="1:12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41.086982669999998</v>
      </c>
      <c r="I24" s="450"/>
      <c r="J24" s="450"/>
      <c r="K24" s="136"/>
      <c r="L24" s="136"/>
    </row>
    <row r="25" spans="1:12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20.543491334999999</v>
      </c>
      <c r="I25" s="450"/>
      <c r="J25" s="450"/>
      <c r="K25" s="136"/>
      <c r="L25" s="136"/>
    </row>
    <row r="26" spans="1:12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13.695660889999999</v>
      </c>
      <c r="I26" s="450"/>
      <c r="J26" s="450"/>
      <c r="K26" s="136"/>
      <c r="L26" s="136"/>
    </row>
    <row r="27" spans="1:12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8.2173965339999988</v>
      </c>
      <c r="I27" s="450"/>
      <c r="J27" s="450"/>
      <c r="K27" s="136"/>
      <c r="L27" s="136"/>
    </row>
    <row r="28" spans="1:12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2.7391321779999998</v>
      </c>
      <c r="I28" s="450"/>
      <c r="J28" s="450"/>
      <c r="K28" s="136"/>
      <c r="L28" s="136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109.56528711999999</v>
      </c>
      <c r="I29" s="450"/>
      <c r="J29" s="450"/>
      <c r="K29" s="136"/>
      <c r="L29" s="136"/>
    </row>
    <row r="30" spans="1:12" ht="15.75" thickBot="1" x14ac:dyDescent="0.3">
      <c r="A30" s="765" t="s">
        <v>36</v>
      </c>
      <c r="B30" s="765"/>
      <c r="C30" s="765"/>
      <c r="D30" s="765"/>
      <c r="E30" s="766">
        <f>SUM(E22:G29)</f>
        <v>0.36800000000000005</v>
      </c>
      <c r="F30" s="767"/>
      <c r="G30" s="768"/>
      <c r="H30" s="769">
        <f>SUM(H22:J29)</f>
        <v>504.00032075199994</v>
      </c>
      <c r="I30" s="769"/>
      <c r="J30" s="769"/>
      <c r="K30" s="136"/>
      <c r="L30" s="136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(3.9*2*16)-6%*E6</f>
        <v>56.566199999999995</v>
      </c>
      <c r="I32" s="450"/>
      <c r="J32" s="450"/>
      <c r="K32" s="136"/>
      <c r="L32" s="136"/>
    </row>
    <row r="33" spans="1:12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(21.63*16)-20%</f>
        <v>345.88</v>
      </c>
      <c r="I33" s="450"/>
      <c r="J33" s="450"/>
      <c r="K33" s="136"/>
      <c r="L33" s="136"/>
    </row>
    <row r="34" spans="1:12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36"/>
      <c r="L34" s="136"/>
    </row>
    <row r="35" spans="1:12" x14ac:dyDescent="0.25">
      <c r="A35" s="482" t="s">
        <v>9</v>
      </c>
      <c r="B35" s="483"/>
      <c r="C35" s="478" t="s">
        <v>28</v>
      </c>
      <c r="D35" s="479"/>
      <c r="E35" s="497"/>
      <c r="F35" s="497"/>
      <c r="G35" s="497"/>
      <c r="H35" s="450">
        <v>25.95</v>
      </c>
      <c r="I35" s="450"/>
      <c r="J35" s="450"/>
      <c r="K35" s="136"/>
      <c r="L35" s="136"/>
    </row>
    <row r="36" spans="1:12" ht="15.75" thickBot="1" x14ac:dyDescent="0.3">
      <c r="A36" s="770" t="s">
        <v>38</v>
      </c>
      <c r="B36" s="771"/>
      <c r="C36" s="771"/>
      <c r="D36" s="771"/>
      <c r="E36" s="771"/>
      <c r="F36" s="771"/>
      <c r="G36" s="772"/>
      <c r="H36" s="773">
        <f>SUM(H32:J35)</f>
        <v>464.96619999999996</v>
      </c>
      <c r="I36" s="773"/>
      <c r="J36" s="773"/>
      <c r="K36" s="136"/>
      <c r="L36" s="136"/>
    </row>
    <row r="37" spans="1:12" ht="15.75" thickBot="1" x14ac:dyDescent="0.3">
      <c r="A37" s="458" t="s">
        <v>72</v>
      </c>
      <c r="B37" s="459"/>
      <c r="C37" s="459"/>
      <c r="D37" s="725"/>
      <c r="E37" s="587">
        <f>H19+H30+H36</f>
        <v>1201.3026097519999</v>
      </c>
      <c r="F37" s="498"/>
      <c r="G37" s="498"/>
      <c r="H37" s="498"/>
      <c r="I37" s="498"/>
      <c r="J37" s="499"/>
      <c r="K37" s="136"/>
      <c r="L37" s="136"/>
    </row>
    <row r="38" spans="1:12" ht="11.2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  <c r="L38" s="136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2" t="s">
        <v>2</v>
      </c>
      <c r="B40" s="453"/>
      <c r="C40" s="452" t="s">
        <v>51</v>
      </c>
      <c r="D40" s="453"/>
      <c r="E40" s="157"/>
      <c r="F40" s="158"/>
      <c r="G40" s="159"/>
      <c r="H40" s="456">
        <f>E12/12*5%</f>
        <v>4.738458333333333</v>
      </c>
      <c r="I40" s="457"/>
      <c r="J40" s="453"/>
      <c r="K40" s="136"/>
      <c r="L40" s="136"/>
    </row>
    <row r="41" spans="1:12" x14ac:dyDescent="0.25">
      <c r="A41" s="452" t="s">
        <v>7</v>
      </c>
      <c r="B41" s="453"/>
      <c r="C41" s="452" t="s">
        <v>52</v>
      </c>
      <c r="D41" s="453"/>
      <c r="E41" s="157"/>
      <c r="F41" s="158"/>
      <c r="G41" s="159"/>
      <c r="H41" s="456">
        <f>H40*8%</f>
        <v>0.37907666666666667</v>
      </c>
      <c r="I41" s="457"/>
      <c r="J41" s="453"/>
      <c r="K41" s="136"/>
      <c r="L41" s="136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  <c r="L42" s="136"/>
    </row>
    <row r="43" spans="1:12" x14ac:dyDescent="0.25">
      <c r="A43" s="481" t="s">
        <v>9</v>
      </c>
      <c r="B43" s="481"/>
      <c r="C43" s="482" t="s">
        <v>54</v>
      </c>
      <c r="D43" s="483"/>
      <c r="E43" s="480"/>
      <c r="F43" s="480"/>
      <c r="G43" s="480"/>
      <c r="H43" s="450">
        <f>E12/30/12*7*100%</f>
        <v>22.112805555555553</v>
      </c>
      <c r="I43" s="450"/>
      <c r="J43" s="450"/>
      <c r="K43" s="136"/>
      <c r="L43" s="136"/>
    </row>
    <row r="44" spans="1:12" ht="30.75" customHeight="1" x14ac:dyDescent="0.25">
      <c r="A44" s="481" t="s">
        <v>10</v>
      </c>
      <c r="B44" s="481"/>
      <c r="C44" s="478" t="s">
        <v>83</v>
      </c>
      <c r="D44" s="479"/>
      <c r="E44" s="480"/>
      <c r="F44" s="480"/>
      <c r="G44" s="480"/>
      <c r="H44" s="450">
        <f>H43*39.8%</f>
        <v>8.80089661111111</v>
      </c>
      <c r="I44" s="450"/>
      <c r="J44" s="450"/>
      <c r="K44" s="136"/>
      <c r="L44" s="136"/>
    </row>
    <row r="45" spans="1:12" ht="30.75" customHeight="1" thickBot="1" x14ac:dyDescent="0.3">
      <c r="A45" s="473" t="s">
        <v>11</v>
      </c>
      <c r="B45" s="474"/>
      <c r="C45" s="475" t="s">
        <v>53</v>
      </c>
      <c r="D45" s="476"/>
      <c r="E45" s="467"/>
      <c r="F45" s="468"/>
      <c r="G45" s="469"/>
      <c r="H45" s="470">
        <f>E12*5%</f>
        <v>56.861500000000007</v>
      </c>
      <c r="I45" s="471"/>
      <c r="J45" s="472"/>
      <c r="K45" s="136"/>
      <c r="L45" s="136"/>
    </row>
    <row r="46" spans="1:12" ht="14.25" customHeight="1" thickBot="1" x14ac:dyDescent="0.3">
      <c r="A46" s="570" t="s">
        <v>333</v>
      </c>
      <c r="B46" s="571"/>
      <c r="C46" s="571"/>
      <c r="D46" s="571"/>
      <c r="E46" s="571"/>
      <c r="F46" s="571"/>
      <c r="G46" s="571"/>
      <c r="H46" s="547">
        <f>SUM(H40:J45)</f>
        <v>92.892737166666677</v>
      </c>
      <c r="I46" s="485"/>
      <c r="J46" s="486"/>
      <c r="K46" s="136"/>
      <c r="L46" s="136"/>
    </row>
    <row r="47" spans="1:12" ht="9" customHeight="1" thickBot="1" x14ac:dyDescent="0.3">
      <c r="E47" s="160"/>
      <c r="F47" s="160"/>
      <c r="G47" s="160"/>
      <c r="H47" s="161"/>
      <c r="I47" s="161"/>
      <c r="J47" s="161"/>
      <c r="K47" s="136"/>
      <c r="L47" s="136"/>
    </row>
    <row r="48" spans="1:12" ht="30" customHeight="1" thickBot="1" x14ac:dyDescent="0.3">
      <c r="A48" s="494" t="s">
        <v>317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2" t="s">
        <v>2</v>
      </c>
      <c r="B49" s="453"/>
      <c r="C49" s="452" t="s">
        <v>56</v>
      </c>
      <c r="D49" s="453"/>
      <c r="E49" s="157"/>
      <c r="F49" s="158"/>
      <c r="G49" s="159"/>
      <c r="H49" s="456">
        <f>E20/12*5%</f>
        <v>3.2583333333333336E-4</v>
      </c>
      <c r="I49" s="457"/>
      <c r="J49" s="453"/>
      <c r="K49" s="136"/>
      <c r="L49" s="136"/>
    </row>
    <row r="50" spans="1:12" x14ac:dyDescent="0.25">
      <c r="A50" s="452" t="s">
        <v>7</v>
      </c>
      <c r="B50" s="453"/>
      <c r="C50" s="452" t="s">
        <v>57</v>
      </c>
      <c r="D50" s="453"/>
      <c r="E50" s="157"/>
      <c r="F50" s="158"/>
      <c r="G50" s="159"/>
      <c r="H50" s="456">
        <f>E12/30/12</f>
        <v>3.1589722222222218</v>
      </c>
      <c r="I50" s="457"/>
      <c r="J50" s="453"/>
      <c r="K50" s="136"/>
      <c r="L50" s="136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0.23692291666666662</v>
      </c>
      <c r="I51" s="450"/>
      <c r="J51" s="450"/>
      <c r="K51" s="136"/>
      <c r="L51" s="136"/>
    </row>
    <row r="52" spans="1:12" ht="31.5" customHeight="1" x14ac:dyDescent="0.25">
      <c r="A52" s="481" t="s">
        <v>9</v>
      </c>
      <c r="B52" s="481"/>
      <c r="C52" s="284" t="s">
        <v>59</v>
      </c>
      <c r="D52" s="286"/>
      <c r="E52" s="480"/>
      <c r="F52" s="480"/>
      <c r="G52" s="480"/>
      <c r="H52" s="450">
        <f>E12/30/12*15*8%</f>
        <v>3.790766666666666</v>
      </c>
      <c r="I52" s="450"/>
      <c r="J52" s="450"/>
      <c r="K52" s="136"/>
      <c r="L52" s="136"/>
    </row>
    <row r="53" spans="1:12" x14ac:dyDescent="0.25">
      <c r="A53" s="481" t="s">
        <v>10</v>
      </c>
      <c r="B53" s="481"/>
      <c r="C53" s="478" t="s">
        <v>60</v>
      </c>
      <c r="D53" s="479"/>
      <c r="E53" s="480"/>
      <c r="F53" s="480"/>
      <c r="G53" s="480"/>
      <c r="H53" s="450">
        <f>E20*5%</f>
        <v>3.9100000000000003E-3</v>
      </c>
      <c r="I53" s="450"/>
      <c r="J53" s="450"/>
      <c r="K53" s="136"/>
      <c r="L53" s="136"/>
    </row>
    <row r="54" spans="1:12" x14ac:dyDescent="0.25">
      <c r="A54" s="481" t="s">
        <v>11</v>
      </c>
      <c r="B54" s="481"/>
      <c r="C54" s="478" t="s">
        <v>61</v>
      </c>
      <c r="D54" s="479"/>
      <c r="E54" s="480"/>
      <c r="F54" s="480"/>
      <c r="G54" s="480"/>
      <c r="H54" s="450">
        <f>E12/30/12*5*40%</f>
        <v>6.3179444444444437</v>
      </c>
      <c r="I54" s="450"/>
      <c r="J54" s="450"/>
      <c r="K54" s="136"/>
      <c r="L54" s="136"/>
    </row>
    <row r="55" spans="1:12" ht="30" customHeight="1" x14ac:dyDescent="0.25">
      <c r="A55" s="481" t="s">
        <v>39</v>
      </c>
      <c r="B55" s="481"/>
      <c r="C55" s="478" t="s">
        <v>62</v>
      </c>
      <c r="D55" s="479"/>
      <c r="E55" s="480"/>
      <c r="F55" s="480"/>
      <c r="G55" s="480"/>
      <c r="H55" s="450">
        <f>SUM(H49:J54)*39.8%</f>
        <v>5.3765191491666648</v>
      </c>
      <c r="I55" s="450"/>
      <c r="J55" s="450"/>
      <c r="K55" s="136"/>
      <c r="L55" s="136"/>
    </row>
    <row r="56" spans="1:12" ht="15.75" thickBot="1" x14ac:dyDescent="0.3">
      <c r="A56" s="588" t="s">
        <v>38</v>
      </c>
      <c r="B56" s="588"/>
      <c r="C56" s="588"/>
      <c r="D56" s="588"/>
      <c r="E56" s="589"/>
      <c r="F56" s="590"/>
      <c r="G56" s="591"/>
      <c r="H56" s="592">
        <f>SUM(H49:J55)</f>
        <v>18.885361232499996</v>
      </c>
      <c r="I56" s="592"/>
      <c r="J56" s="592"/>
      <c r="K56" s="136"/>
      <c r="L56" s="136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2.25" customHeight="1" x14ac:dyDescent="0.25">
      <c r="A58" s="452" t="s">
        <v>2</v>
      </c>
      <c r="B58" s="453"/>
      <c r="C58" s="454" t="s">
        <v>64</v>
      </c>
      <c r="D58" s="455"/>
      <c r="E58" s="157"/>
      <c r="F58" s="158"/>
      <c r="G58" s="159"/>
      <c r="H58" s="456">
        <f>((((E12+(E12/3))*0.3333)/12)*2%)</f>
        <v>0.84230835333333332</v>
      </c>
      <c r="I58" s="457"/>
      <c r="J58" s="453"/>
      <c r="K58" s="136"/>
      <c r="L58" s="136"/>
    </row>
    <row r="59" spans="1:12" ht="45" customHeight="1" x14ac:dyDescent="0.25">
      <c r="A59" s="452" t="s">
        <v>7</v>
      </c>
      <c r="B59" s="453"/>
      <c r="C59" s="454" t="s">
        <v>65</v>
      </c>
      <c r="D59" s="455"/>
      <c r="E59" s="157"/>
      <c r="F59" s="158"/>
      <c r="G59" s="159"/>
      <c r="H59" s="456">
        <f>H58*39.8%</f>
        <v>0.33523872462666665</v>
      </c>
      <c r="I59" s="457"/>
      <c r="J59" s="453"/>
      <c r="K59" s="136"/>
      <c r="L59" s="136"/>
    </row>
    <row r="60" spans="1:12" ht="43.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3.2655350700061194</v>
      </c>
      <c r="I60" s="450"/>
      <c r="J60" s="450"/>
      <c r="K60" s="136"/>
      <c r="L60" s="136"/>
    </row>
    <row r="61" spans="1:12" x14ac:dyDescent="0.25">
      <c r="A61" s="481" t="s">
        <v>9</v>
      </c>
      <c r="B61" s="481"/>
      <c r="C61" s="482" t="s">
        <v>67</v>
      </c>
      <c r="D61" s="483"/>
      <c r="E61" s="480"/>
      <c r="F61" s="480"/>
      <c r="G61" s="480"/>
      <c r="H61" s="450"/>
      <c r="I61" s="450"/>
      <c r="J61" s="450"/>
      <c r="K61" s="136"/>
      <c r="L61" s="136"/>
    </row>
    <row r="62" spans="1:12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4.4430821479661198</v>
      </c>
      <c r="I62" s="592"/>
      <c r="J62" s="592"/>
      <c r="K62" s="136"/>
      <c r="L62" s="136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3" customHeight="1" x14ac:dyDescent="0.25">
      <c r="A64" s="452" t="s">
        <v>2</v>
      </c>
      <c r="B64" s="453"/>
      <c r="C64" s="454" t="s">
        <v>69</v>
      </c>
      <c r="D64" s="455"/>
      <c r="E64" s="157"/>
      <c r="F64" s="158"/>
      <c r="G64" s="159"/>
      <c r="H64" s="456">
        <f>((((E18+(E18/3))*0.3333)/12)*2%)</f>
        <v>8.9620666666666654E-5</v>
      </c>
      <c r="I64" s="457"/>
      <c r="J64" s="453"/>
      <c r="K64" s="136"/>
      <c r="L64" s="136"/>
    </row>
    <row r="65" spans="1:12" ht="29.25" customHeight="1" x14ac:dyDescent="0.25">
      <c r="A65" s="452" t="s">
        <v>7</v>
      </c>
      <c r="B65" s="453"/>
      <c r="C65" s="454" t="s">
        <v>70</v>
      </c>
      <c r="D65" s="455"/>
      <c r="E65" s="157"/>
      <c r="F65" s="158"/>
      <c r="G65" s="159"/>
      <c r="H65" s="456">
        <f>H64*39.8%</f>
        <v>3.5669025333333325E-5</v>
      </c>
      <c r="I65" s="457"/>
      <c r="J65" s="453"/>
      <c r="K65" s="136"/>
      <c r="L65" s="136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  <c r="L66" s="136"/>
    </row>
    <row r="67" spans="1:12" ht="15.75" thickBot="1" x14ac:dyDescent="0.3">
      <c r="A67" s="458" t="s">
        <v>71</v>
      </c>
      <c r="B67" s="459"/>
      <c r="C67" s="459"/>
      <c r="D67" s="725"/>
      <c r="E67" s="587">
        <f>H66+H62+H56</f>
        <v>23.328568670158116</v>
      </c>
      <c r="F67" s="498"/>
      <c r="G67" s="498"/>
      <c r="H67" s="498"/>
      <c r="I67" s="498"/>
      <c r="J67" s="499"/>
      <c r="K67" s="136"/>
      <c r="L67" s="136"/>
    </row>
    <row r="68" spans="1:12" ht="11.25" customHeight="1" thickBot="1" x14ac:dyDescent="0.3">
      <c r="A68" s="135"/>
      <c r="B68" s="135"/>
      <c r="C68" s="135"/>
      <c r="D68" s="135"/>
      <c r="E68" s="135"/>
      <c r="F68" s="135"/>
      <c r="G68" s="135"/>
      <c r="H68" s="135"/>
      <c r="I68" s="135"/>
      <c r="J68" s="135"/>
      <c r="K68" s="136"/>
      <c r="L68" s="136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2" t="s">
        <v>2</v>
      </c>
      <c r="B70" s="453"/>
      <c r="C70" s="452" t="s">
        <v>74</v>
      </c>
      <c r="D70" s="453"/>
      <c r="E70" s="452"/>
      <c r="F70" s="457"/>
      <c r="G70" s="453"/>
      <c r="H70" s="456">
        <v>300</v>
      </c>
      <c r="I70" s="457"/>
      <c r="J70" s="453"/>
      <c r="K70" s="136"/>
      <c r="L70" s="136"/>
    </row>
    <row r="71" spans="1:12" x14ac:dyDescent="0.25">
      <c r="A71" s="452" t="s">
        <v>7</v>
      </c>
      <c r="B71" s="453"/>
      <c r="C71" s="452" t="s">
        <v>75</v>
      </c>
      <c r="D71" s="453"/>
      <c r="E71" s="157"/>
      <c r="F71" s="158"/>
      <c r="G71" s="159"/>
      <c r="H71" s="456">
        <v>5</v>
      </c>
      <c r="I71" s="457"/>
      <c r="J71" s="453"/>
      <c r="K71" s="136"/>
      <c r="L71" s="136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43.5</v>
      </c>
      <c r="I72" s="450"/>
      <c r="J72" s="450"/>
      <c r="K72" s="136"/>
      <c r="L72" s="136"/>
    </row>
    <row r="73" spans="1:12" ht="15.75" thickBot="1" x14ac:dyDescent="0.3">
      <c r="A73" s="477" t="s">
        <v>9</v>
      </c>
      <c r="B73" s="477"/>
      <c r="C73" s="473" t="s">
        <v>28</v>
      </c>
      <c r="D73" s="474"/>
      <c r="E73" s="448"/>
      <c r="F73" s="448"/>
      <c r="G73" s="448"/>
      <c r="H73" s="449">
        <v>5</v>
      </c>
      <c r="I73" s="449"/>
      <c r="J73" s="449"/>
      <c r="K73" s="136"/>
      <c r="L73" s="136"/>
    </row>
    <row r="74" spans="1:12" ht="15.75" thickBot="1" x14ac:dyDescent="0.3">
      <c r="A74" s="570" t="s">
        <v>336</v>
      </c>
      <c r="B74" s="571"/>
      <c r="C74" s="571"/>
      <c r="D74" s="571"/>
      <c r="E74" s="571"/>
      <c r="F74" s="571"/>
      <c r="G74" s="571"/>
      <c r="H74" s="547">
        <f>SUM(H70:J73)</f>
        <v>353.5</v>
      </c>
      <c r="I74" s="485"/>
      <c r="J74" s="486"/>
      <c r="K74" s="136"/>
      <c r="L74" s="136"/>
    </row>
    <row r="75" spans="1:12" ht="9" customHeight="1" thickBot="1" x14ac:dyDescent="0.3">
      <c r="E75" s="160"/>
      <c r="F75" s="160"/>
      <c r="G75" s="160"/>
      <c r="H75" s="161"/>
      <c r="I75" s="161"/>
      <c r="J75" s="161"/>
      <c r="K75" s="136"/>
      <c r="L75" s="136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2" t="s">
        <v>2</v>
      </c>
      <c r="B77" s="453"/>
      <c r="C77" s="452" t="s">
        <v>77</v>
      </c>
      <c r="D77" s="453"/>
      <c r="E77" s="537">
        <v>7.0000000000000007E-2</v>
      </c>
      <c r="F77" s="457"/>
      <c r="G77" s="453"/>
      <c r="H77" s="456">
        <f>(H74+E67+H46+E37+E12)*E77</f>
        <v>196.57777409121772</v>
      </c>
      <c r="I77" s="457"/>
      <c r="J77" s="453"/>
      <c r="K77" s="136"/>
      <c r="L77" s="136"/>
    </row>
    <row r="78" spans="1:12" x14ac:dyDescent="0.25">
      <c r="A78" s="452" t="s">
        <v>7</v>
      </c>
      <c r="B78" s="453"/>
      <c r="C78" s="452" t="s">
        <v>12</v>
      </c>
      <c r="D78" s="453"/>
      <c r="E78" s="537">
        <v>7.5774185115783349E-2</v>
      </c>
      <c r="F78" s="457"/>
      <c r="G78" s="453"/>
      <c r="H78" s="456">
        <f>E78*(H74+E67+H46+E37+E12)</f>
        <v>212.79315205195101</v>
      </c>
      <c r="I78" s="457"/>
      <c r="J78" s="453"/>
      <c r="K78" s="136"/>
      <c r="L78" s="136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450">
        <f>(H74+E67+H46+E37+E12)/E79</f>
        <v>3274.9316799869671</v>
      </c>
      <c r="I79" s="450"/>
      <c r="J79" s="450"/>
      <c r="K79" s="136"/>
      <c r="L79" s="136"/>
    </row>
    <row r="80" spans="1:12" x14ac:dyDescent="0.25">
      <c r="A80" s="481" t="s">
        <v>9</v>
      </c>
      <c r="B80" s="481"/>
      <c r="C80" s="482" t="s">
        <v>79</v>
      </c>
      <c r="D80" s="483"/>
      <c r="E80" s="480">
        <v>1.6500000000000001E-2</v>
      </c>
      <c r="F80" s="480"/>
      <c r="G80" s="480"/>
      <c r="H80" s="450">
        <f>E80*H87</f>
        <v>54.550980000000003</v>
      </c>
      <c r="I80" s="450"/>
      <c r="J80" s="450"/>
      <c r="K80" s="136"/>
      <c r="L80" s="136"/>
    </row>
    <row r="81" spans="1:12" x14ac:dyDescent="0.25">
      <c r="A81" s="481" t="s">
        <v>9</v>
      </c>
      <c r="B81" s="481"/>
      <c r="C81" s="482" t="s">
        <v>80</v>
      </c>
      <c r="D81" s="483"/>
      <c r="E81" s="480">
        <v>7.5999999999999998E-2</v>
      </c>
      <c r="F81" s="480"/>
      <c r="G81" s="480"/>
      <c r="H81" s="450">
        <f>E81*H87</f>
        <v>251.26512</v>
      </c>
      <c r="I81" s="450"/>
      <c r="J81" s="450"/>
      <c r="K81" s="136"/>
      <c r="L81" s="136"/>
    </row>
    <row r="82" spans="1:12" x14ac:dyDescent="0.25">
      <c r="A82" s="481" t="s">
        <v>10</v>
      </c>
      <c r="B82" s="481"/>
      <c r="C82" s="482" t="s">
        <v>81</v>
      </c>
      <c r="D82" s="483"/>
      <c r="E82" s="480"/>
      <c r="F82" s="480"/>
      <c r="G82" s="480"/>
      <c r="H82" s="450"/>
      <c r="I82" s="450"/>
      <c r="J82" s="450"/>
      <c r="K82" s="136"/>
      <c r="L82" s="136"/>
    </row>
    <row r="83" spans="1:12" ht="15.75" thickBot="1" x14ac:dyDescent="0.3">
      <c r="A83" s="477" t="s">
        <v>11</v>
      </c>
      <c r="B83" s="477"/>
      <c r="C83" s="473" t="s">
        <v>82</v>
      </c>
      <c r="D83" s="474"/>
      <c r="E83" s="448">
        <v>0.05</v>
      </c>
      <c r="F83" s="448"/>
      <c r="G83" s="448"/>
      <c r="H83" s="449">
        <f>E83*H87</f>
        <v>165.30600000000001</v>
      </c>
      <c r="I83" s="449"/>
      <c r="J83" s="449"/>
      <c r="K83" s="136"/>
      <c r="L83" s="136"/>
    </row>
    <row r="84" spans="1:12" ht="15.75" thickBot="1" x14ac:dyDescent="0.3">
      <c r="A84" s="570" t="s">
        <v>340</v>
      </c>
      <c r="B84" s="571"/>
      <c r="C84" s="571"/>
      <c r="D84" s="571"/>
      <c r="E84" s="571"/>
      <c r="F84" s="571"/>
      <c r="G84" s="571"/>
      <c r="H84" s="547">
        <f>H77+H78+H80+H81+H83</f>
        <v>880.49302614316878</v>
      </c>
      <c r="I84" s="485"/>
      <c r="J84" s="486"/>
      <c r="K84" s="136"/>
      <c r="L84" s="136"/>
    </row>
    <row r="85" spans="1:12" ht="9" customHeight="1" thickBot="1" x14ac:dyDescent="0.3">
      <c r="E85" s="160"/>
      <c r="F85" s="160"/>
      <c r="G85" s="160"/>
      <c r="H85" s="161"/>
      <c r="I85" s="161"/>
      <c r="J85" s="161"/>
      <c r="K85" s="136"/>
      <c r="L85" s="136"/>
    </row>
    <row r="86" spans="1:12" ht="15.75" thickBot="1" x14ac:dyDescent="0.3">
      <c r="A86" s="719" t="s">
        <v>85</v>
      </c>
      <c r="B86" s="720"/>
      <c r="C86" s="720"/>
      <c r="D86" s="720"/>
      <c r="E86" s="720"/>
      <c r="F86" s="720"/>
      <c r="G86" s="721"/>
      <c r="H86" s="722">
        <f>SUM(H84+H74+E67+H46+E37+E12)</f>
        <v>3688.746941731993</v>
      </c>
      <c r="I86" s="723"/>
      <c r="J86" s="724"/>
    </row>
    <row r="87" spans="1:12" ht="15.75" thickBot="1" x14ac:dyDescent="0.3">
      <c r="H87" s="162">
        <v>3306.12</v>
      </c>
      <c r="I87" s="162"/>
      <c r="J87" s="162"/>
    </row>
  </sheetData>
  <mergeCells count="230">
    <mergeCell ref="A1:J1"/>
    <mergeCell ref="A74:G74"/>
    <mergeCell ref="A84:G8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6337778862885"/>
  </sheetPr>
  <dimension ref="A1:L87"/>
  <sheetViews>
    <sheetView topLeftCell="A43" workbookViewId="0">
      <selection activeCell="A48" sqref="A48:J48"/>
    </sheetView>
  </sheetViews>
  <sheetFormatPr defaultRowHeight="15" x14ac:dyDescent="0.25"/>
  <cols>
    <col min="1" max="1" width="7.42578125" bestFit="1" customWidth="1"/>
    <col min="2" max="2" width="2" bestFit="1" customWidth="1"/>
    <col min="3" max="3" width="6.42578125" customWidth="1"/>
    <col min="4" max="4" width="44.7109375" customWidth="1"/>
    <col min="5" max="5" width="3.7109375" customWidth="1"/>
    <col min="6" max="6" width="2.5703125" customWidth="1"/>
    <col min="7" max="7" width="4" customWidth="1"/>
    <col min="8" max="8" width="5.5703125" customWidth="1"/>
    <col min="9" max="9" width="3.28515625" customWidth="1"/>
    <col min="10" max="10" width="4.7109375" customWidth="1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23"/>
    </row>
    <row r="2" spans="1:12" ht="31.5" customHeight="1" thickBot="1" x14ac:dyDescent="0.3">
      <c r="A2" s="554" t="s">
        <v>0</v>
      </c>
      <c r="B2" s="555"/>
      <c r="C2" s="556"/>
      <c r="D2" s="737" t="s">
        <v>351</v>
      </c>
      <c r="E2" s="738"/>
      <c r="F2" s="738"/>
      <c r="G2" s="738"/>
      <c r="H2" s="738"/>
      <c r="I2" s="738"/>
      <c r="J2" s="739"/>
      <c r="K2" s="23"/>
    </row>
    <row r="3" spans="1:12" ht="9" customHeight="1" thickBot="1" x14ac:dyDescent="0.3">
      <c r="A3" s="267"/>
      <c r="B3" s="232"/>
      <c r="C3" s="232"/>
      <c r="D3" s="232"/>
      <c r="E3" s="232"/>
      <c r="F3" s="232"/>
      <c r="G3" s="232"/>
      <c r="H3" s="232"/>
      <c r="I3" s="232"/>
      <c r="J3" s="265"/>
      <c r="K3" s="23"/>
      <c r="L3" s="23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23"/>
    </row>
    <row r="5" spans="1:12" x14ac:dyDescent="0.25">
      <c r="A5" s="232" t="s">
        <v>31</v>
      </c>
      <c r="B5" s="232"/>
      <c r="C5" s="232"/>
      <c r="D5" s="232"/>
      <c r="E5" s="232"/>
      <c r="F5" s="232"/>
      <c r="G5" s="232"/>
      <c r="H5" s="232"/>
      <c r="I5" s="232"/>
      <c r="J5" s="232"/>
      <c r="K5" s="23"/>
      <c r="L5" s="23"/>
    </row>
    <row r="6" spans="1:12" x14ac:dyDescent="0.25">
      <c r="A6" s="121" t="s">
        <v>2</v>
      </c>
      <c r="B6" s="702" t="s">
        <v>1</v>
      </c>
      <c r="C6" s="703"/>
      <c r="D6" s="704"/>
      <c r="E6" s="774">
        <v>1137.23</v>
      </c>
      <c r="F6" s="774"/>
      <c r="G6" s="774"/>
      <c r="H6" s="774"/>
      <c r="I6" s="774"/>
      <c r="J6" s="774"/>
      <c r="K6" s="23"/>
      <c r="L6" s="23"/>
    </row>
    <row r="7" spans="1:12" x14ac:dyDescent="0.25">
      <c r="A7" s="121" t="s">
        <v>7</v>
      </c>
      <c r="B7" s="702" t="s">
        <v>25</v>
      </c>
      <c r="C7" s="703"/>
      <c r="D7" s="704"/>
      <c r="E7" s="776"/>
      <c r="F7" s="777"/>
      <c r="G7" s="777"/>
      <c r="H7" s="777"/>
      <c r="I7" s="777"/>
      <c r="J7" s="778"/>
      <c r="K7" s="23"/>
      <c r="L7" s="23"/>
    </row>
    <row r="8" spans="1:12" x14ac:dyDescent="0.25">
      <c r="A8" s="121" t="s">
        <v>8</v>
      </c>
      <c r="B8" s="702" t="s">
        <v>26</v>
      </c>
      <c r="C8" s="703"/>
      <c r="D8" s="704"/>
      <c r="E8" s="776"/>
      <c r="F8" s="777"/>
      <c r="G8" s="777"/>
      <c r="H8" s="777"/>
      <c r="I8" s="777"/>
      <c r="J8" s="778"/>
      <c r="K8" s="23"/>
      <c r="L8" s="23"/>
    </row>
    <row r="9" spans="1:12" x14ac:dyDescent="0.25">
      <c r="A9" s="121" t="s">
        <v>9</v>
      </c>
      <c r="B9" s="702" t="s">
        <v>27</v>
      </c>
      <c r="C9" s="703"/>
      <c r="D9" s="704"/>
      <c r="E9" s="776"/>
      <c r="F9" s="777"/>
      <c r="G9" s="777"/>
      <c r="H9" s="777"/>
      <c r="I9" s="777"/>
      <c r="J9" s="778"/>
      <c r="K9" s="23"/>
      <c r="L9" s="23"/>
    </row>
    <row r="10" spans="1:12" x14ac:dyDescent="0.25">
      <c r="A10" s="121" t="s">
        <v>10</v>
      </c>
      <c r="B10" s="702" t="s">
        <v>28</v>
      </c>
      <c r="C10" s="703"/>
      <c r="D10" s="704"/>
      <c r="E10" s="774"/>
      <c r="F10" s="774"/>
      <c r="G10" s="774"/>
      <c r="H10" s="774"/>
      <c r="I10" s="774"/>
      <c r="J10" s="774"/>
      <c r="K10" s="23"/>
      <c r="L10" s="23"/>
    </row>
    <row r="11" spans="1:12" ht="15.75" thickBot="1" x14ac:dyDescent="0.3">
      <c r="A11" s="125" t="s">
        <v>11</v>
      </c>
      <c r="B11" s="709" t="s">
        <v>158</v>
      </c>
      <c r="C11" s="710"/>
      <c r="D11" s="711"/>
      <c r="E11" s="775">
        <f>1045*20%</f>
        <v>209</v>
      </c>
      <c r="F11" s="775"/>
      <c r="G11" s="775"/>
      <c r="H11" s="775"/>
      <c r="I11" s="775"/>
      <c r="J11" s="775"/>
      <c r="K11" s="23"/>
      <c r="L11" s="23"/>
    </row>
    <row r="12" spans="1:12" ht="15.75" thickBot="1" x14ac:dyDescent="0.3">
      <c r="A12" s="645" t="s">
        <v>330</v>
      </c>
      <c r="B12" s="646"/>
      <c r="C12" s="646"/>
      <c r="D12" s="745"/>
      <c r="E12" s="641">
        <f>SUM(E6:J11)</f>
        <v>1346.23</v>
      </c>
      <c r="F12" s="642"/>
      <c r="G12" s="642"/>
      <c r="H12" s="642"/>
      <c r="I12" s="642"/>
      <c r="J12" s="643"/>
      <c r="K12" s="23"/>
      <c r="L12" s="23"/>
    </row>
    <row r="13" spans="1:12" ht="25.5" customHeight="1" x14ac:dyDescent="0.25">
      <c r="A13" s="551" t="s">
        <v>29</v>
      </c>
      <c r="B13" s="715"/>
      <c r="C13" s="715"/>
      <c r="D13" s="716"/>
      <c r="E13" s="548">
        <f>E12*E30</f>
        <v>495.41264000000007</v>
      </c>
      <c r="F13" s="549"/>
      <c r="G13" s="549"/>
      <c r="H13" s="549"/>
      <c r="I13" s="549"/>
      <c r="J13" s="550"/>
      <c r="K13" s="23"/>
      <c r="L13" s="23"/>
    </row>
    <row r="14" spans="1:12" ht="9" customHeight="1" thickBot="1" x14ac:dyDescent="0.3">
      <c r="A14" s="267"/>
      <c r="B14" s="232"/>
      <c r="C14" s="232"/>
      <c r="D14" s="232"/>
      <c r="E14" s="232"/>
      <c r="F14" s="232"/>
      <c r="G14" s="232"/>
      <c r="H14" s="232"/>
      <c r="I14" s="232"/>
      <c r="J14" s="265"/>
      <c r="K14" s="23"/>
      <c r="L14" s="23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23"/>
    </row>
    <row r="16" spans="1:12" ht="30" customHeight="1" thickBot="1" x14ac:dyDescent="0.3">
      <c r="A16" s="507" t="s">
        <v>352</v>
      </c>
      <c r="B16" s="508"/>
      <c r="C16" s="508"/>
      <c r="D16" s="508"/>
      <c r="E16" s="508"/>
      <c r="F16" s="508"/>
      <c r="G16" s="508"/>
      <c r="H16" s="508"/>
      <c r="I16" s="508"/>
      <c r="J16" s="509"/>
      <c r="K16" s="23"/>
    </row>
    <row r="17" spans="1:12" x14ac:dyDescent="0.25">
      <c r="A17" s="121" t="s">
        <v>2</v>
      </c>
      <c r="B17" s="265" t="s">
        <v>34</v>
      </c>
      <c r="C17" s="266"/>
      <c r="D17" s="267"/>
      <c r="E17" s="278">
        <v>8.3299999999999999E-2</v>
      </c>
      <c r="F17" s="279"/>
      <c r="G17" s="280"/>
      <c r="H17" s="271">
        <f>E17*E12</f>
        <v>112.140959</v>
      </c>
      <c r="I17" s="271"/>
      <c r="J17" s="271"/>
      <c r="K17" s="23"/>
      <c r="L17" s="23"/>
    </row>
    <row r="18" spans="1:12" x14ac:dyDescent="0.25">
      <c r="A18" s="121" t="s">
        <v>7</v>
      </c>
      <c r="B18" s="265" t="s">
        <v>35</v>
      </c>
      <c r="C18" s="266"/>
      <c r="D18" s="267"/>
      <c r="E18" s="268">
        <v>0.121</v>
      </c>
      <c r="F18" s="269"/>
      <c r="G18" s="270"/>
      <c r="H18" s="271">
        <f>E18*E12</f>
        <v>162.89383000000001</v>
      </c>
      <c r="I18" s="271"/>
      <c r="J18" s="271"/>
      <c r="K18" s="23"/>
      <c r="L18" s="23"/>
    </row>
    <row r="19" spans="1:12" x14ac:dyDescent="0.25">
      <c r="A19" s="687" t="s">
        <v>36</v>
      </c>
      <c r="B19" s="688"/>
      <c r="C19" s="688"/>
      <c r="D19" s="688"/>
      <c r="E19" s="688"/>
      <c r="F19" s="688"/>
      <c r="G19" s="689"/>
      <c r="H19" s="690">
        <f>SUM(H17:J18)</f>
        <v>275.03478899999999</v>
      </c>
      <c r="I19" s="690"/>
      <c r="J19" s="690"/>
      <c r="K19" s="23"/>
      <c r="L19" s="23"/>
    </row>
    <row r="20" spans="1:12" ht="30" customHeight="1" thickBot="1" x14ac:dyDescent="0.3">
      <c r="A20" s="123" t="s">
        <v>8</v>
      </c>
      <c r="B20" s="284" t="s">
        <v>37</v>
      </c>
      <c r="C20" s="285"/>
      <c r="D20" s="286"/>
      <c r="E20" s="287">
        <v>7.8200000000000006E-2</v>
      </c>
      <c r="F20" s="288"/>
      <c r="G20" s="289"/>
      <c r="H20" s="290">
        <f>E12*E20</f>
        <v>105.27518600000001</v>
      </c>
      <c r="I20" s="291"/>
      <c r="J20" s="292"/>
      <c r="K20" s="23"/>
      <c r="L20" s="23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23"/>
    </row>
    <row r="22" spans="1:12" x14ac:dyDescent="0.25">
      <c r="A22" s="265" t="s">
        <v>2</v>
      </c>
      <c r="B22" s="267"/>
      <c r="C22" s="676" t="s">
        <v>3</v>
      </c>
      <c r="D22" s="677"/>
      <c r="E22" s="678">
        <v>0.2</v>
      </c>
      <c r="F22" s="678"/>
      <c r="G22" s="678"/>
      <c r="H22" s="271">
        <f>E22*(E12+H19)</f>
        <v>324.25295780000005</v>
      </c>
      <c r="I22" s="271"/>
      <c r="J22" s="271"/>
      <c r="K22" s="23"/>
      <c r="L22" s="23"/>
    </row>
    <row r="23" spans="1:12" x14ac:dyDescent="0.25">
      <c r="A23" s="265" t="s">
        <v>7</v>
      </c>
      <c r="B23" s="267"/>
      <c r="C23" s="265" t="s">
        <v>41</v>
      </c>
      <c r="D23" s="267"/>
      <c r="E23" s="672">
        <v>2.5000000000000001E-2</v>
      </c>
      <c r="F23" s="672"/>
      <c r="G23" s="672"/>
      <c r="H23" s="271">
        <f>E23*(E12+H19)</f>
        <v>40.531619725000006</v>
      </c>
      <c r="I23" s="271"/>
      <c r="J23" s="271"/>
      <c r="K23" s="23"/>
      <c r="L23" s="23"/>
    </row>
    <row r="24" spans="1:12" x14ac:dyDescent="0.25">
      <c r="A24" s="265" t="s">
        <v>8</v>
      </c>
      <c r="B24" s="267"/>
      <c r="C24" s="684" t="s">
        <v>42</v>
      </c>
      <c r="D24" s="685"/>
      <c r="E24" s="686">
        <v>0.03</v>
      </c>
      <c r="F24" s="686"/>
      <c r="G24" s="686"/>
      <c r="H24" s="271">
        <f>E24*(E12+H19)</f>
        <v>48.637943669999999</v>
      </c>
      <c r="I24" s="271"/>
      <c r="J24" s="271"/>
      <c r="K24" s="23"/>
      <c r="L24" s="23"/>
    </row>
    <row r="25" spans="1:12" x14ac:dyDescent="0.25">
      <c r="A25" s="265" t="s">
        <v>9</v>
      </c>
      <c r="B25" s="267"/>
      <c r="C25" s="265" t="s">
        <v>43</v>
      </c>
      <c r="D25" s="267"/>
      <c r="E25" s="672">
        <v>1.4999999999999999E-2</v>
      </c>
      <c r="F25" s="672"/>
      <c r="G25" s="672"/>
      <c r="H25" s="271">
        <f>E25*(E12+H19)</f>
        <v>24.318971834999999</v>
      </c>
      <c r="I25" s="271"/>
      <c r="J25" s="271"/>
      <c r="K25" s="23"/>
      <c r="L25" s="23"/>
    </row>
    <row r="26" spans="1:12" x14ac:dyDescent="0.25">
      <c r="A26" s="265" t="s">
        <v>10</v>
      </c>
      <c r="B26" s="267"/>
      <c r="C26" s="265" t="s">
        <v>44</v>
      </c>
      <c r="D26" s="267"/>
      <c r="E26" s="672">
        <v>0.01</v>
      </c>
      <c r="F26" s="672"/>
      <c r="G26" s="672"/>
      <c r="H26" s="271">
        <f>E26*(E12+H19)</f>
        <v>16.21264789</v>
      </c>
      <c r="I26" s="271"/>
      <c r="J26" s="271"/>
      <c r="K26" s="23"/>
      <c r="L26" s="23"/>
    </row>
    <row r="27" spans="1:12" x14ac:dyDescent="0.25">
      <c r="A27" s="265" t="s">
        <v>11</v>
      </c>
      <c r="B27" s="267"/>
      <c r="C27" s="265" t="s">
        <v>6</v>
      </c>
      <c r="D27" s="267"/>
      <c r="E27" s="672">
        <v>6.0000000000000001E-3</v>
      </c>
      <c r="F27" s="672"/>
      <c r="G27" s="672"/>
      <c r="H27" s="271">
        <f>E27*(E12+H19)</f>
        <v>9.7275887340000011</v>
      </c>
      <c r="I27" s="271"/>
      <c r="J27" s="271"/>
      <c r="K27" s="23"/>
      <c r="L27" s="23"/>
    </row>
    <row r="28" spans="1:12" x14ac:dyDescent="0.25">
      <c r="A28" s="265" t="s">
        <v>39</v>
      </c>
      <c r="B28" s="267"/>
      <c r="C28" s="265" t="s">
        <v>5</v>
      </c>
      <c r="D28" s="267"/>
      <c r="E28" s="672">
        <v>2E-3</v>
      </c>
      <c r="F28" s="672"/>
      <c r="G28" s="672"/>
      <c r="H28" s="271">
        <f>E28*(E12+H19)</f>
        <v>3.2425295780000001</v>
      </c>
      <c r="I28" s="271"/>
      <c r="J28" s="271"/>
      <c r="K28" s="23"/>
      <c r="L28" s="23"/>
    </row>
    <row r="29" spans="1:12" x14ac:dyDescent="0.25">
      <c r="A29" s="679" t="s">
        <v>40</v>
      </c>
      <c r="B29" s="680"/>
      <c r="C29" s="265" t="s">
        <v>4</v>
      </c>
      <c r="D29" s="266"/>
      <c r="E29" s="681">
        <v>0.08</v>
      </c>
      <c r="F29" s="682"/>
      <c r="G29" s="683"/>
      <c r="H29" s="271">
        <f>E29*(E12+H19)</f>
        <v>129.70118312</v>
      </c>
      <c r="I29" s="271"/>
      <c r="J29" s="271"/>
      <c r="K29" s="23"/>
      <c r="L29" s="23"/>
    </row>
    <row r="30" spans="1:12" ht="15.75" thickBot="1" x14ac:dyDescent="0.3">
      <c r="A30" s="656" t="s">
        <v>36</v>
      </c>
      <c r="B30" s="656"/>
      <c r="C30" s="656"/>
      <c r="D30" s="656"/>
      <c r="E30" s="657">
        <f>SUM(E22:G29)</f>
        <v>0.36800000000000005</v>
      </c>
      <c r="F30" s="658"/>
      <c r="G30" s="659"/>
      <c r="H30" s="660">
        <f>SUM(H22:J29)</f>
        <v>596.62544235200016</v>
      </c>
      <c r="I30" s="660"/>
      <c r="J30" s="660"/>
      <c r="K30" s="23"/>
      <c r="L30" s="23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23"/>
    </row>
    <row r="32" spans="1:12" x14ac:dyDescent="0.25">
      <c r="A32" s="265" t="s">
        <v>2</v>
      </c>
      <c r="B32" s="267"/>
      <c r="C32" s="676" t="s">
        <v>46</v>
      </c>
      <c r="D32" s="677"/>
      <c r="E32" s="678"/>
      <c r="F32" s="678"/>
      <c r="G32" s="678"/>
      <c r="H32" s="271">
        <f>(3.9*2*16)-6%*E6</f>
        <v>56.566199999999995</v>
      </c>
      <c r="I32" s="271"/>
      <c r="J32" s="271"/>
      <c r="K32" s="23"/>
      <c r="L32" s="23"/>
    </row>
    <row r="33" spans="1:12" x14ac:dyDescent="0.25">
      <c r="A33" s="265" t="s">
        <v>7</v>
      </c>
      <c r="B33" s="267"/>
      <c r="C33" s="265" t="s">
        <v>47</v>
      </c>
      <c r="D33" s="267"/>
      <c r="E33" s="672"/>
      <c r="F33" s="672"/>
      <c r="G33" s="672"/>
      <c r="H33" s="271">
        <f>(21.63*16)-20%</f>
        <v>345.88</v>
      </c>
      <c r="I33" s="271"/>
      <c r="J33" s="271"/>
      <c r="K33" s="23"/>
      <c r="L33" s="23"/>
    </row>
    <row r="34" spans="1:12" x14ac:dyDescent="0.25">
      <c r="A34" s="265" t="s">
        <v>8</v>
      </c>
      <c r="B34" s="267"/>
      <c r="C34" s="284" t="s">
        <v>49</v>
      </c>
      <c r="D34" s="286"/>
      <c r="E34" s="672"/>
      <c r="F34" s="672"/>
      <c r="G34" s="672"/>
      <c r="H34" s="271">
        <v>36.57</v>
      </c>
      <c r="I34" s="271"/>
      <c r="J34" s="271"/>
      <c r="K34" s="23"/>
      <c r="L34" s="23"/>
    </row>
    <row r="35" spans="1:12" x14ac:dyDescent="0.25">
      <c r="A35" s="265" t="s">
        <v>9</v>
      </c>
      <c r="B35" s="267"/>
      <c r="C35" s="342" t="s">
        <v>28</v>
      </c>
      <c r="D35" s="343"/>
      <c r="E35" s="672"/>
      <c r="F35" s="672"/>
      <c r="G35" s="672"/>
      <c r="H35" s="271">
        <v>25.95</v>
      </c>
      <c r="I35" s="271"/>
      <c r="J35" s="271"/>
      <c r="K35" s="23"/>
      <c r="L35" s="23"/>
    </row>
    <row r="36" spans="1:12" ht="15.75" thickBot="1" x14ac:dyDescent="0.3">
      <c r="A36" s="673" t="s">
        <v>38</v>
      </c>
      <c r="B36" s="674"/>
      <c r="C36" s="674"/>
      <c r="D36" s="674"/>
      <c r="E36" s="674"/>
      <c r="F36" s="674"/>
      <c r="G36" s="675"/>
      <c r="H36" s="655">
        <f>SUM(H32:J35)</f>
        <v>464.96619999999996</v>
      </c>
      <c r="I36" s="655"/>
      <c r="J36" s="655"/>
      <c r="K36" s="23"/>
      <c r="L36" s="23"/>
    </row>
    <row r="37" spans="1:12" ht="15.75" thickBot="1" x14ac:dyDescent="0.3">
      <c r="A37" s="645" t="s">
        <v>72</v>
      </c>
      <c r="B37" s="646"/>
      <c r="C37" s="646"/>
      <c r="D37" s="745"/>
      <c r="E37" s="648">
        <f>H19+H30+H36</f>
        <v>1336.6264313520001</v>
      </c>
      <c r="F37" s="649"/>
      <c r="G37" s="649"/>
      <c r="H37" s="649"/>
      <c r="I37" s="649"/>
      <c r="J37" s="650"/>
      <c r="K37" s="23"/>
      <c r="L37" s="23"/>
    </row>
    <row r="38" spans="1:12" ht="10.5" customHeight="1" thickBot="1" x14ac:dyDescent="0.3">
      <c r="A38" s="670"/>
      <c r="B38" s="670"/>
      <c r="C38" s="670"/>
      <c r="D38" s="670"/>
      <c r="E38" s="670"/>
      <c r="F38" s="670"/>
      <c r="G38" s="670"/>
      <c r="H38" s="670"/>
      <c r="I38" s="670"/>
      <c r="J38" s="670"/>
      <c r="K38" s="23"/>
      <c r="L38" s="23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23"/>
    </row>
    <row r="40" spans="1:12" x14ac:dyDescent="0.25">
      <c r="A40" s="314" t="s">
        <v>2</v>
      </c>
      <c r="B40" s="315"/>
      <c r="C40" s="314" t="s">
        <v>51</v>
      </c>
      <c r="D40" s="315"/>
      <c r="E40" s="49"/>
      <c r="F40" s="51"/>
      <c r="G40" s="50"/>
      <c r="H40" s="316">
        <f>E12/12*5%</f>
        <v>5.6092916666666675</v>
      </c>
      <c r="I40" s="317"/>
      <c r="J40" s="315"/>
      <c r="K40" s="23"/>
      <c r="L40" s="23"/>
    </row>
    <row r="41" spans="1:12" x14ac:dyDescent="0.25">
      <c r="A41" s="314" t="s">
        <v>7</v>
      </c>
      <c r="B41" s="315"/>
      <c r="C41" s="314" t="s">
        <v>52</v>
      </c>
      <c r="D41" s="315"/>
      <c r="E41" s="49"/>
      <c r="F41" s="51"/>
      <c r="G41" s="50"/>
      <c r="H41" s="316">
        <f>H40*8%</f>
        <v>0.44874333333333338</v>
      </c>
      <c r="I41" s="317"/>
      <c r="J41" s="315"/>
      <c r="K41" s="23"/>
      <c r="L41" s="23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271">
        <f>E42*E12</f>
        <v>0</v>
      </c>
      <c r="I42" s="271"/>
      <c r="J42" s="271"/>
      <c r="K42" s="23"/>
      <c r="L42" s="23"/>
    </row>
    <row r="43" spans="1:12" x14ac:dyDescent="0.25">
      <c r="A43" s="232" t="s">
        <v>9</v>
      </c>
      <c r="B43" s="232"/>
      <c r="C43" s="265" t="s">
        <v>54</v>
      </c>
      <c r="D43" s="267"/>
      <c r="E43" s="341"/>
      <c r="F43" s="341"/>
      <c r="G43" s="341"/>
      <c r="H43" s="271">
        <f>E12/30/12*7*100%</f>
        <v>26.176694444444443</v>
      </c>
      <c r="I43" s="271"/>
      <c r="J43" s="271"/>
      <c r="K43" s="23"/>
      <c r="L43" s="23"/>
    </row>
    <row r="44" spans="1:12" ht="30.75" customHeight="1" x14ac:dyDescent="0.25">
      <c r="A44" s="232" t="s">
        <v>10</v>
      </c>
      <c r="B44" s="232"/>
      <c r="C44" s="342" t="s">
        <v>83</v>
      </c>
      <c r="D44" s="343"/>
      <c r="E44" s="341"/>
      <c r="F44" s="341"/>
      <c r="G44" s="341"/>
      <c r="H44" s="271">
        <f>H43*39.8%</f>
        <v>10.418324388888887</v>
      </c>
      <c r="I44" s="271"/>
      <c r="J44" s="271"/>
      <c r="K44" s="23"/>
      <c r="L44" s="23"/>
    </row>
    <row r="45" spans="1:12" ht="30.75" customHeight="1" thickBot="1" x14ac:dyDescent="0.3">
      <c r="A45" s="634" t="s">
        <v>11</v>
      </c>
      <c r="B45" s="635"/>
      <c r="C45" s="755" t="s">
        <v>53</v>
      </c>
      <c r="D45" s="756"/>
      <c r="E45" s="663"/>
      <c r="F45" s="664"/>
      <c r="G45" s="665"/>
      <c r="H45" s="666">
        <f>E12*5%</f>
        <v>67.311500000000009</v>
      </c>
      <c r="I45" s="667"/>
      <c r="J45" s="668"/>
      <c r="K45" s="23"/>
      <c r="L45" s="23"/>
    </row>
    <row r="46" spans="1:12" ht="15.75" thickBot="1" x14ac:dyDescent="0.3">
      <c r="A46" s="638" t="s">
        <v>333</v>
      </c>
      <c r="B46" s="639"/>
      <c r="C46" s="639"/>
      <c r="D46" s="639"/>
      <c r="E46" s="639"/>
      <c r="F46" s="639"/>
      <c r="G46" s="640"/>
      <c r="H46" s="641">
        <f>SUM(H40:J45)</f>
        <v>109.96455383333334</v>
      </c>
      <c r="I46" s="642"/>
      <c r="J46" s="643"/>
      <c r="K46" s="23"/>
      <c r="L46" s="23"/>
    </row>
    <row r="47" spans="1:12" ht="9" customHeight="1" thickBot="1" x14ac:dyDescent="0.3">
      <c r="E47" s="17"/>
      <c r="F47" s="17"/>
      <c r="G47" s="17"/>
      <c r="H47" s="18"/>
      <c r="I47" s="18"/>
      <c r="J47" s="18"/>
      <c r="K47" s="23"/>
      <c r="L47" s="23"/>
    </row>
    <row r="48" spans="1:12" ht="30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23"/>
    </row>
    <row r="49" spans="1:12" x14ac:dyDescent="0.25">
      <c r="A49" s="314" t="s">
        <v>2</v>
      </c>
      <c r="B49" s="315"/>
      <c r="C49" s="314" t="s">
        <v>56</v>
      </c>
      <c r="D49" s="315"/>
      <c r="E49" s="49"/>
      <c r="F49" s="51"/>
      <c r="G49" s="50"/>
      <c r="H49" s="316">
        <f>E20/12*5%</f>
        <v>3.2583333333333336E-4</v>
      </c>
      <c r="I49" s="317"/>
      <c r="J49" s="315"/>
      <c r="K49" s="23"/>
      <c r="L49" s="23"/>
    </row>
    <row r="50" spans="1:12" x14ac:dyDescent="0.25">
      <c r="A50" s="314" t="s">
        <v>7</v>
      </c>
      <c r="B50" s="315"/>
      <c r="C50" s="314" t="s">
        <v>57</v>
      </c>
      <c r="D50" s="315"/>
      <c r="E50" s="49"/>
      <c r="F50" s="51"/>
      <c r="G50" s="50"/>
      <c r="H50" s="316">
        <f>E12/30/12</f>
        <v>3.7395277777777776</v>
      </c>
      <c r="I50" s="317"/>
      <c r="J50" s="315"/>
      <c r="K50" s="23"/>
      <c r="L50" s="23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271">
        <f>E12/30/12*5*1.5%</f>
        <v>0.28046458333333335</v>
      </c>
      <c r="I51" s="271"/>
      <c r="J51" s="271"/>
      <c r="K51" s="23"/>
      <c r="L51" s="23"/>
    </row>
    <row r="52" spans="1:12" ht="31.5" customHeight="1" x14ac:dyDescent="0.25">
      <c r="A52" s="232" t="s">
        <v>9</v>
      </c>
      <c r="B52" s="232"/>
      <c r="C52" s="661" t="s">
        <v>59</v>
      </c>
      <c r="D52" s="662"/>
      <c r="E52" s="341"/>
      <c r="F52" s="341"/>
      <c r="G52" s="341"/>
      <c r="H52" s="271">
        <f>E12/30/12*15*8%</f>
        <v>4.4874333333333327</v>
      </c>
      <c r="I52" s="271"/>
      <c r="J52" s="271"/>
      <c r="K52" s="23"/>
      <c r="L52" s="23"/>
    </row>
    <row r="53" spans="1:12" x14ac:dyDescent="0.25">
      <c r="A53" s="232" t="s">
        <v>10</v>
      </c>
      <c r="B53" s="232"/>
      <c r="C53" s="342" t="s">
        <v>60</v>
      </c>
      <c r="D53" s="343"/>
      <c r="E53" s="341"/>
      <c r="F53" s="341"/>
      <c r="G53" s="341"/>
      <c r="H53" s="271">
        <f>E20*5%</f>
        <v>3.9100000000000003E-3</v>
      </c>
      <c r="I53" s="271"/>
      <c r="J53" s="271"/>
      <c r="K53" s="23"/>
      <c r="L53" s="23"/>
    </row>
    <row r="54" spans="1:12" x14ac:dyDescent="0.25">
      <c r="A54" s="232" t="s">
        <v>11</v>
      </c>
      <c r="B54" s="232"/>
      <c r="C54" s="342" t="s">
        <v>61</v>
      </c>
      <c r="D54" s="343"/>
      <c r="E54" s="341"/>
      <c r="F54" s="341"/>
      <c r="G54" s="341"/>
      <c r="H54" s="271">
        <f>E12/30/12*5*40%</f>
        <v>7.479055555555556</v>
      </c>
      <c r="I54" s="271"/>
      <c r="J54" s="271"/>
      <c r="K54" s="23"/>
      <c r="L54" s="23"/>
    </row>
    <row r="55" spans="1:12" ht="30" customHeight="1" x14ac:dyDescent="0.25">
      <c r="A55" s="232" t="s">
        <v>39</v>
      </c>
      <c r="B55" s="232"/>
      <c r="C55" s="342" t="s">
        <v>62</v>
      </c>
      <c r="D55" s="343"/>
      <c r="E55" s="341"/>
      <c r="F55" s="341"/>
      <c r="G55" s="341"/>
      <c r="H55" s="271">
        <f>SUM(H49:J54)*39.8%</f>
        <v>6.3643053991666658</v>
      </c>
      <c r="I55" s="271"/>
      <c r="J55" s="271"/>
      <c r="K55" s="23"/>
      <c r="L55" s="23"/>
    </row>
    <row r="56" spans="1:12" ht="15.75" thickBot="1" x14ac:dyDescent="0.3">
      <c r="A56" s="656" t="s">
        <v>36</v>
      </c>
      <c r="B56" s="656"/>
      <c r="C56" s="656"/>
      <c r="D56" s="656"/>
      <c r="E56" s="657"/>
      <c r="F56" s="658"/>
      <c r="G56" s="659"/>
      <c r="H56" s="660">
        <f>SUM(H49:J55)</f>
        <v>22.355022482499997</v>
      </c>
      <c r="I56" s="660"/>
      <c r="J56" s="660"/>
      <c r="K56" s="23"/>
      <c r="L56" s="23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23"/>
    </row>
    <row r="58" spans="1:12" ht="32.25" customHeight="1" x14ac:dyDescent="0.25">
      <c r="A58" s="314" t="s">
        <v>2</v>
      </c>
      <c r="B58" s="315"/>
      <c r="C58" s="344" t="s">
        <v>64</v>
      </c>
      <c r="D58" s="345"/>
      <c r="E58" s="49"/>
      <c r="F58" s="51"/>
      <c r="G58" s="50"/>
      <c r="H58" s="316">
        <f>((((E12+(E12/3))*0.3333)/12)*2%)</f>
        <v>0.99710768666666649</v>
      </c>
      <c r="I58" s="317"/>
      <c r="J58" s="315"/>
      <c r="K58" s="23"/>
      <c r="L58" s="23"/>
    </row>
    <row r="59" spans="1:12" ht="31.5" customHeight="1" x14ac:dyDescent="0.25">
      <c r="A59" s="314" t="s">
        <v>7</v>
      </c>
      <c r="B59" s="315"/>
      <c r="C59" s="344" t="s">
        <v>65</v>
      </c>
      <c r="D59" s="345"/>
      <c r="E59" s="49"/>
      <c r="F59" s="51"/>
      <c r="G59" s="50"/>
      <c r="H59" s="316">
        <f>H58*39.8%</f>
        <v>0.39684885929333324</v>
      </c>
      <c r="I59" s="317"/>
      <c r="J59" s="315"/>
      <c r="K59" s="23"/>
      <c r="L59" s="23"/>
    </row>
    <row r="60" spans="1:12" ht="45" customHeight="1" x14ac:dyDescent="0.25">
      <c r="A60" s="318" t="s">
        <v>8</v>
      </c>
      <c r="B60" s="319"/>
      <c r="C60" s="344" t="s">
        <v>66</v>
      </c>
      <c r="D60" s="345"/>
      <c r="E60" s="322"/>
      <c r="F60" s="323"/>
      <c r="G60" s="324"/>
      <c r="H60" s="271">
        <f>(((E12+H17)*0.333)*2%)*39.8%</f>
        <v>3.8656747336021207</v>
      </c>
      <c r="I60" s="271"/>
      <c r="J60" s="271"/>
      <c r="K60" s="23"/>
      <c r="L60" s="23"/>
    </row>
    <row r="61" spans="1:12" x14ac:dyDescent="0.25">
      <c r="A61" s="232" t="s">
        <v>9</v>
      </c>
      <c r="B61" s="232"/>
      <c r="C61" s="265" t="s">
        <v>67</v>
      </c>
      <c r="D61" s="267"/>
      <c r="E61" s="341"/>
      <c r="F61" s="341"/>
      <c r="G61" s="341"/>
      <c r="H61" s="271"/>
      <c r="I61" s="271"/>
      <c r="J61" s="271"/>
      <c r="K61" s="23"/>
      <c r="L61" s="23"/>
    </row>
    <row r="62" spans="1:12" ht="15.75" thickBot="1" x14ac:dyDescent="0.3">
      <c r="A62" s="656" t="s">
        <v>36</v>
      </c>
      <c r="B62" s="656"/>
      <c r="C62" s="656"/>
      <c r="D62" s="656"/>
      <c r="E62" s="657"/>
      <c r="F62" s="658"/>
      <c r="G62" s="659"/>
      <c r="H62" s="660">
        <f>SUM(H58:J61)</f>
        <v>5.2596312795621198</v>
      </c>
      <c r="I62" s="660"/>
      <c r="J62" s="660"/>
      <c r="K62" s="23"/>
      <c r="L62" s="23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23"/>
    </row>
    <row r="64" spans="1:12" ht="33" customHeight="1" x14ac:dyDescent="0.25">
      <c r="A64" s="314" t="s">
        <v>2</v>
      </c>
      <c r="B64" s="315"/>
      <c r="C64" s="344" t="s">
        <v>69</v>
      </c>
      <c r="D64" s="345"/>
      <c r="E64" s="49"/>
      <c r="F64" s="51"/>
      <c r="G64" s="50"/>
      <c r="H64" s="316">
        <f>((((E18+(E18/3))*0.3333)/12)*2%)</f>
        <v>8.9620666666666654E-5</v>
      </c>
      <c r="I64" s="317"/>
      <c r="J64" s="315"/>
      <c r="K64" s="23"/>
      <c r="L64" s="23"/>
    </row>
    <row r="65" spans="1:12" ht="29.25" customHeight="1" x14ac:dyDescent="0.25">
      <c r="A65" s="314" t="s">
        <v>7</v>
      </c>
      <c r="B65" s="315"/>
      <c r="C65" s="344" t="s">
        <v>70</v>
      </c>
      <c r="D65" s="345"/>
      <c r="E65" s="49"/>
      <c r="F65" s="51"/>
      <c r="G65" s="50"/>
      <c r="H65" s="316">
        <f>H64*39.8%</f>
        <v>3.5669025333333325E-5</v>
      </c>
      <c r="I65" s="317"/>
      <c r="J65" s="315"/>
      <c r="K65" s="23"/>
      <c r="L65" s="23"/>
    </row>
    <row r="66" spans="1:12" ht="15.75" thickBot="1" x14ac:dyDescent="0.3">
      <c r="A66" s="651" t="s">
        <v>36</v>
      </c>
      <c r="B66" s="651"/>
      <c r="C66" s="651"/>
      <c r="D66" s="651"/>
      <c r="E66" s="652"/>
      <c r="F66" s="653"/>
      <c r="G66" s="654"/>
      <c r="H66" s="655">
        <f>SUM(H64:J65)</f>
        <v>1.2528969199999997E-4</v>
      </c>
      <c r="I66" s="655"/>
      <c r="J66" s="655"/>
      <c r="K66" s="23"/>
      <c r="L66" s="23"/>
    </row>
    <row r="67" spans="1:12" ht="15.75" thickBot="1" x14ac:dyDescent="0.3">
      <c r="A67" s="645" t="s">
        <v>71</v>
      </c>
      <c r="B67" s="646"/>
      <c r="C67" s="646"/>
      <c r="D67" s="745"/>
      <c r="E67" s="648">
        <f>H66+H62+H56</f>
        <v>27.614779051754116</v>
      </c>
      <c r="F67" s="649"/>
      <c r="G67" s="649"/>
      <c r="H67" s="649"/>
      <c r="I67" s="649"/>
      <c r="J67" s="650"/>
      <c r="K67" s="23"/>
      <c r="L67" s="23"/>
    </row>
    <row r="68" spans="1:12" ht="11.25" customHeight="1" thickBo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  <c r="L68" s="23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23"/>
    </row>
    <row r="70" spans="1:12" x14ac:dyDescent="0.25">
      <c r="A70" s="314" t="s">
        <v>2</v>
      </c>
      <c r="B70" s="315"/>
      <c r="C70" s="314" t="s">
        <v>74</v>
      </c>
      <c r="D70" s="315"/>
      <c r="E70" s="314"/>
      <c r="F70" s="317"/>
      <c r="G70" s="315"/>
      <c r="H70" s="316">
        <v>300</v>
      </c>
      <c r="I70" s="317"/>
      <c r="J70" s="315"/>
      <c r="K70" s="23"/>
      <c r="L70" s="23"/>
    </row>
    <row r="71" spans="1:12" x14ac:dyDescent="0.25">
      <c r="A71" s="314" t="s">
        <v>7</v>
      </c>
      <c r="B71" s="315"/>
      <c r="C71" s="314" t="s">
        <v>75</v>
      </c>
      <c r="D71" s="315"/>
      <c r="E71" s="49"/>
      <c r="F71" s="51"/>
      <c r="G71" s="50"/>
      <c r="H71" s="316">
        <v>5</v>
      </c>
      <c r="I71" s="317"/>
      <c r="J71" s="315"/>
      <c r="K71" s="23"/>
      <c r="L71" s="23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271">
        <v>43.5</v>
      </c>
      <c r="I72" s="271"/>
      <c r="J72" s="271"/>
      <c r="K72" s="23"/>
      <c r="L72" s="23"/>
    </row>
    <row r="73" spans="1:12" ht="15.75" thickBot="1" x14ac:dyDescent="0.3">
      <c r="A73" s="633" t="s">
        <v>9</v>
      </c>
      <c r="B73" s="633"/>
      <c r="C73" s="634" t="s">
        <v>28</v>
      </c>
      <c r="D73" s="635"/>
      <c r="E73" s="636"/>
      <c r="F73" s="636"/>
      <c r="G73" s="636"/>
      <c r="H73" s="637">
        <v>5</v>
      </c>
      <c r="I73" s="637"/>
      <c r="J73" s="637"/>
      <c r="K73" s="23"/>
      <c r="L73" s="23"/>
    </row>
    <row r="74" spans="1:12" ht="15.75" thickBot="1" x14ac:dyDescent="0.3">
      <c r="A74" s="638" t="s">
        <v>336</v>
      </c>
      <c r="B74" s="639"/>
      <c r="C74" s="639"/>
      <c r="D74" s="639"/>
      <c r="E74" s="639"/>
      <c r="F74" s="639"/>
      <c r="G74" s="639"/>
      <c r="H74" s="641">
        <f>SUM(H70:J73)</f>
        <v>353.5</v>
      </c>
      <c r="I74" s="642"/>
      <c r="J74" s="643"/>
      <c r="K74" s="23"/>
      <c r="L74" s="23"/>
    </row>
    <row r="75" spans="1:12" ht="9" customHeight="1" thickBot="1" x14ac:dyDescent="0.3">
      <c r="E75" s="17"/>
      <c r="F75" s="17"/>
      <c r="G75" s="17"/>
      <c r="H75" s="18"/>
      <c r="I75" s="18"/>
      <c r="J75" s="18"/>
      <c r="K75" s="23"/>
      <c r="L75" s="23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23"/>
    </row>
    <row r="77" spans="1:12" x14ac:dyDescent="0.25">
      <c r="A77" s="314" t="s">
        <v>2</v>
      </c>
      <c r="B77" s="315"/>
      <c r="C77" s="314" t="s">
        <v>77</v>
      </c>
      <c r="D77" s="315"/>
      <c r="E77" s="644">
        <v>7.0000000000000007E-2</v>
      </c>
      <c r="F77" s="317"/>
      <c r="G77" s="315"/>
      <c r="H77" s="316">
        <f>(H74+E67+H46+E37+E12)*E77</f>
        <v>222.17550349659618</v>
      </c>
      <c r="I77" s="317"/>
      <c r="J77" s="315"/>
      <c r="K77" s="23"/>
      <c r="L77" s="23"/>
    </row>
    <row r="78" spans="1:12" x14ac:dyDescent="0.25">
      <c r="A78" s="314" t="s">
        <v>7</v>
      </c>
      <c r="B78" s="315"/>
      <c r="C78" s="314" t="s">
        <v>12</v>
      </c>
      <c r="D78" s="315"/>
      <c r="E78" s="644">
        <v>7.5774185115783349E-2</v>
      </c>
      <c r="F78" s="317"/>
      <c r="G78" s="315"/>
      <c r="H78" s="316">
        <f>E78*(H74+E67+H46+E37+E12)</f>
        <v>240.50239614490638</v>
      </c>
      <c r="I78" s="317"/>
      <c r="J78" s="315"/>
      <c r="K78" s="23"/>
      <c r="L78" s="23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271">
        <f>(H74+E67+H46+E37+E12)/E79</f>
        <v>3701.3828154368371</v>
      </c>
      <c r="I79" s="271"/>
      <c r="J79" s="271"/>
      <c r="K79" s="23"/>
      <c r="L79" s="23"/>
    </row>
    <row r="80" spans="1:12" x14ac:dyDescent="0.25">
      <c r="A80" s="232" t="s">
        <v>9</v>
      </c>
      <c r="B80" s="232"/>
      <c r="C80" s="265" t="s">
        <v>79</v>
      </c>
      <c r="D80" s="267"/>
      <c r="E80" s="341">
        <v>1.6500000000000001E-2</v>
      </c>
      <c r="F80" s="341"/>
      <c r="G80" s="341"/>
      <c r="H80" s="271">
        <f>E80*H87</f>
        <v>54.550980000000003</v>
      </c>
      <c r="I80" s="271"/>
      <c r="J80" s="271"/>
      <c r="K80" s="23"/>
      <c r="L80" s="23"/>
    </row>
    <row r="81" spans="1:12" x14ac:dyDescent="0.25">
      <c r="A81" s="232" t="s">
        <v>9</v>
      </c>
      <c r="B81" s="232"/>
      <c r="C81" s="265" t="s">
        <v>80</v>
      </c>
      <c r="D81" s="267"/>
      <c r="E81" s="341">
        <v>7.5999999999999998E-2</v>
      </c>
      <c r="F81" s="341"/>
      <c r="G81" s="341"/>
      <c r="H81" s="271">
        <f>E81*H87</f>
        <v>251.26512</v>
      </c>
      <c r="I81" s="271"/>
      <c r="J81" s="271"/>
      <c r="K81" s="23"/>
      <c r="L81" s="23"/>
    </row>
    <row r="82" spans="1:12" x14ac:dyDescent="0.25">
      <c r="A82" s="232" t="s">
        <v>10</v>
      </c>
      <c r="B82" s="232"/>
      <c r="C82" s="265" t="s">
        <v>81</v>
      </c>
      <c r="D82" s="267"/>
      <c r="E82" s="341"/>
      <c r="F82" s="341"/>
      <c r="G82" s="341"/>
      <c r="H82" s="271"/>
      <c r="I82" s="271"/>
      <c r="J82" s="271"/>
      <c r="K82" s="23"/>
      <c r="L82" s="23"/>
    </row>
    <row r="83" spans="1:12" ht="15.75" thickBot="1" x14ac:dyDescent="0.3">
      <c r="A83" s="633" t="s">
        <v>11</v>
      </c>
      <c r="B83" s="633"/>
      <c r="C83" s="634" t="s">
        <v>82</v>
      </c>
      <c r="D83" s="635"/>
      <c r="E83" s="636">
        <v>0.05</v>
      </c>
      <c r="F83" s="636"/>
      <c r="G83" s="636"/>
      <c r="H83" s="637">
        <f>E83*H87</f>
        <v>165.30600000000001</v>
      </c>
      <c r="I83" s="637"/>
      <c r="J83" s="637"/>
      <c r="K83" s="23"/>
      <c r="L83" s="23"/>
    </row>
    <row r="84" spans="1:12" ht="15.75" thickBot="1" x14ac:dyDescent="0.3">
      <c r="A84" s="638" t="s">
        <v>340</v>
      </c>
      <c r="B84" s="639"/>
      <c r="C84" s="639"/>
      <c r="D84" s="639"/>
      <c r="E84" s="639"/>
      <c r="F84" s="639"/>
      <c r="G84" s="639"/>
      <c r="H84" s="641">
        <f>H77+H78+H80+H81+H83</f>
        <v>933.79999964150261</v>
      </c>
      <c r="I84" s="642"/>
      <c r="J84" s="643"/>
      <c r="K84" s="23"/>
      <c r="L84" s="23"/>
    </row>
    <row r="85" spans="1:12" ht="11.25" customHeight="1" thickBot="1" x14ac:dyDescent="0.3">
      <c r="E85" s="17"/>
      <c r="F85" s="17"/>
      <c r="G85" s="17"/>
      <c r="H85" s="18"/>
      <c r="I85" s="18"/>
      <c r="J85" s="18"/>
      <c r="K85" s="23"/>
      <c r="L85" s="23"/>
    </row>
    <row r="86" spans="1:12" ht="15.75" thickBot="1" x14ac:dyDescent="0.3">
      <c r="A86" s="627" t="s">
        <v>85</v>
      </c>
      <c r="B86" s="628"/>
      <c r="C86" s="628"/>
      <c r="D86" s="628"/>
      <c r="E86" s="628"/>
      <c r="F86" s="628"/>
      <c r="G86" s="629"/>
      <c r="H86" s="757">
        <f>SUM(H84+H74+E67+H46+E37+E12)</f>
        <v>4107.7357638785907</v>
      </c>
      <c r="I86" s="758"/>
      <c r="J86" s="759"/>
    </row>
    <row r="87" spans="1:12" ht="15.75" thickBot="1" x14ac:dyDescent="0.3">
      <c r="H87" s="126">
        <v>3306.12</v>
      </c>
      <c r="I87" s="126"/>
      <c r="J87" s="126"/>
    </row>
  </sheetData>
  <mergeCells count="230">
    <mergeCell ref="A1:J1"/>
    <mergeCell ref="A46:G46"/>
    <mergeCell ref="A74:G74"/>
    <mergeCell ref="A84:G8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6337778862885"/>
  </sheetPr>
  <dimension ref="A1:L87"/>
  <sheetViews>
    <sheetView topLeftCell="A58" workbookViewId="0">
      <selection activeCell="M84" sqref="M84"/>
    </sheetView>
  </sheetViews>
  <sheetFormatPr defaultRowHeight="15" x14ac:dyDescent="0.25"/>
  <cols>
    <col min="1" max="1" width="7.42578125" bestFit="1" customWidth="1"/>
    <col min="2" max="2" width="2" bestFit="1" customWidth="1"/>
    <col min="3" max="3" width="6.7109375" customWidth="1"/>
    <col min="4" max="4" width="45.7109375" customWidth="1"/>
    <col min="5" max="7" width="3.28515625" customWidth="1"/>
    <col min="8" max="8" width="5.5703125" customWidth="1"/>
    <col min="9" max="9" width="3.28515625" customWidth="1"/>
    <col min="10" max="10" width="3.140625" customWidth="1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23"/>
    </row>
    <row r="2" spans="1:12" ht="31.5" customHeight="1" thickBot="1" x14ac:dyDescent="0.3">
      <c r="A2" s="554" t="s">
        <v>0</v>
      </c>
      <c r="B2" s="555"/>
      <c r="C2" s="556"/>
      <c r="D2" s="737" t="s">
        <v>353</v>
      </c>
      <c r="E2" s="738"/>
      <c r="F2" s="738"/>
      <c r="G2" s="738"/>
      <c r="H2" s="738"/>
      <c r="I2" s="738"/>
      <c r="J2" s="739"/>
      <c r="K2" s="23"/>
    </row>
    <row r="3" spans="1:12" ht="9" customHeight="1" thickBot="1" x14ac:dyDescent="0.3">
      <c r="A3" s="267"/>
      <c r="B3" s="232"/>
      <c r="C3" s="232"/>
      <c r="D3" s="232"/>
      <c r="E3" s="232"/>
      <c r="F3" s="232"/>
      <c r="G3" s="232"/>
      <c r="H3" s="232"/>
      <c r="I3" s="232"/>
      <c r="J3" s="265"/>
      <c r="K3" s="23"/>
      <c r="L3" s="23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23"/>
    </row>
    <row r="5" spans="1:12" x14ac:dyDescent="0.25">
      <c r="A5" s="232" t="s">
        <v>31</v>
      </c>
      <c r="B5" s="232"/>
      <c r="C5" s="232"/>
      <c r="D5" s="232"/>
      <c r="E5" s="232"/>
      <c r="F5" s="232"/>
      <c r="G5" s="232"/>
      <c r="H5" s="232"/>
      <c r="I5" s="232"/>
      <c r="J5" s="232"/>
      <c r="K5" s="23"/>
      <c r="L5" s="23"/>
    </row>
    <row r="6" spans="1:12" x14ac:dyDescent="0.25">
      <c r="A6" s="121" t="s">
        <v>2</v>
      </c>
      <c r="B6" s="702" t="s">
        <v>1</v>
      </c>
      <c r="C6" s="703"/>
      <c r="D6" s="704"/>
      <c r="E6" s="774">
        <v>1137.23</v>
      </c>
      <c r="F6" s="774"/>
      <c r="G6" s="774"/>
      <c r="H6" s="774"/>
      <c r="I6" s="774"/>
      <c r="J6" s="774"/>
      <c r="K6" s="23"/>
      <c r="L6" s="23"/>
    </row>
    <row r="7" spans="1:12" x14ac:dyDescent="0.25">
      <c r="A7" s="121" t="s">
        <v>7</v>
      </c>
      <c r="B7" s="702" t="s">
        <v>25</v>
      </c>
      <c r="C7" s="703"/>
      <c r="D7" s="704"/>
      <c r="E7" s="776"/>
      <c r="F7" s="777"/>
      <c r="G7" s="777"/>
      <c r="H7" s="777"/>
      <c r="I7" s="777"/>
      <c r="J7" s="778"/>
      <c r="K7" s="23"/>
      <c r="L7" s="23"/>
    </row>
    <row r="8" spans="1:12" x14ac:dyDescent="0.25">
      <c r="A8" s="121" t="s">
        <v>8</v>
      </c>
      <c r="B8" s="702" t="s">
        <v>26</v>
      </c>
      <c r="C8" s="703"/>
      <c r="D8" s="704"/>
      <c r="E8" s="776"/>
      <c r="F8" s="777"/>
      <c r="G8" s="777"/>
      <c r="H8" s="777"/>
      <c r="I8" s="777"/>
      <c r="J8" s="778"/>
      <c r="K8" s="23"/>
      <c r="L8" s="23"/>
    </row>
    <row r="9" spans="1:12" x14ac:dyDescent="0.25">
      <c r="A9" s="121" t="s">
        <v>9</v>
      </c>
      <c r="B9" s="702" t="s">
        <v>27</v>
      </c>
      <c r="C9" s="703"/>
      <c r="D9" s="704"/>
      <c r="E9" s="776"/>
      <c r="F9" s="777"/>
      <c r="G9" s="777"/>
      <c r="H9" s="777"/>
      <c r="I9" s="777"/>
      <c r="J9" s="778"/>
      <c r="K9" s="23"/>
      <c r="L9" s="23"/>
    </row>
    <row r="10" spans="1:12" x14ac:dyDescent="0.25">
      <c r="A10" s="121" t="s">
        <v>10</v>
      </c>
      <c r="B10" s="702" t="s">
        <v>28</v>
      </c>
      <c r="C10" s="703"/>
      <c r="D10" s="704"/>
      <c r="E10" s="774"/>
      <c r="F10" s="774"/>
      <c r="G10" s="774"/>
      <c r="H10" s="774"/>
      <c r="I10" s="774"/>
      <c r="J10" s="774"/>
      <c r="K10" s="23"/>
      <c r="L10" s="23"/>
    </row>
    <row r="11" spans="1:12" ht="15.75" thickBot="1" x14ac:dyDescent="0.3">
      <c r="A11" s="125" t="s">
        <v>11</v>
      </c>
      <c r="B11" s="779" t="s">
        <v>161</v>
      </c>
      <c r="C11" s="780"/>
      <c r="D11" s="781"/>
      <c r="E11" s="775">
        <f>1045*40%</f>
        <v>418</v>
      </c>
      <c r="F11" s="775"/>
      <c r="G11" s="775"/>
      <c r="H11" s="775"/>
      <c r="I11" s="775"/>
      <c r="J11" s="775"/>
      <c r="K11" s="23"/>
      <c r="L11" s="23"/>
    </row>
    <row r="12" spans="1:12" ht="15.75" thickBot="1" x14ac:dyDescent="0.3">
      <c r="A12" s="645" t="s">
        <v>330</v>
      </c>
      <c r="B12" s="646"/>
      <c r="C12" s="646"/>
      <c r="D12" s="745"/>
      <c r="E12" s="641">
        <f>SUM(E6:J11)</f>
        <v>1555.23</v>
      </c>
      <c r="F12" s="642"/>
      <c r="G12" s="642"/>
      <c r="H12" s="642"/>
      <c r="I12" s="642"/>
      <c r="J12" s="643"/>
      <c r="K12" s="23"/>
      <c r="L12" s="23"/>
    </row>
    <row r="13" spans="1:12" ht="27.75" customHeight="1" x14ac:dyDescent="0.25">
      <c r="A13" s="551" t="s">
        <v>29</v>
      </c>
      <c r="B13" s="715"/>
      <c r="C13" s="715"/>
      <c r="D13" s="716"/>
      <c r="E13" s="548">
        <f>E12*E30</f>
        <v>572.32464000000004</v>
      </c>
      <c r="F13" s="549"/>
      <c r="G13" s="549"/>
      <c r="H13" s="549"/>
      <c r="I13" s="549"/>
      <c r="J13" s="550"/>
      <c r="K13" s="23"/>
      <c r="L13" s="23"/>
    </row>
    <row r="14" spans="1:12" ht="9" customHeight="1" thickBot="1" x14ac:dyDescent="0.3">
      <c r="A14" s="267"/>
      <c r="B14" s="232"/>
      <c r="C14" s="232"/>
      <c r="D14" s="232"/>
      <c r="E14" s="232"/>
      <c r="F14" s="232"/>
      <c r="G14" s="232"/>
      <c r="H14" s="232"/>
      <c r="I14" s="232"/>
      <c r="J14" s="265"/>
      <c r="K14" s="23"/>
      <c r="L14" s="23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23"/>
    </row>
    <row r="16" spans="1:12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23"/>
    </row>
    <row r="17" spans="1:12" x14ac:dyDescent="0.25">
      <c r="A17" s="121" t="s">
        <v>2</v>
      </c>
      <c r="B17" s="265" t="s">
        <v>34</v>
      </c>
      <c r="C17" s="266"/>
      <c r="D17" s="267"/>
      <c r="E17" s="782">
        <v>8.3299999999999999E-2</v>
      </c>
      <c r="F17" s="783"/>
      <c r="G17" s="784"/>
      <c r="H17" s="271">
        <f>E17*E12</f>
        <v>129.550659</v>
      </c>
      <c r="I17" s="271"/>
      <c r="J17" s="271"/>
      <c r="K17" s="23"/>
      <c r="L17" s="23"/>
    </row>
    <row r="18" spans="1:12" x14ac:dyDescent="0.25">
      <c r="A18" s="121" t="s">
        <v>7</v>
      </c>
      <c r="B18" s="265" t="s">
        <v>35</v>
      </c>
      <c r="C18" s="266"/>
      <c r="D18" s="267"/>
      <c r="E18" s="268">
        <v>0.121</v>
      </c>
      <c r="F18" s="269"/>
      <c r="G18" s="270"/>
      <c r="H18" s="271">
        <f>E18*E12</f>
        <v>188.18283</v>
      </c>
      <c r="I18" s="271"/>
      <c r="J18" s="271"/>
      <c r="K18" s="23"/>
      <c r="L18" s="23"/>
    </row>
    <row r="19" spans="1:12" x14ac:dyDescent="0.25">
      <c r="A19" s="687" t="s">
        <v>36</v>
      </c>
      <c r="B19" s="688"/>
      <c r="C19" s="688"/>
      <c r="D19" s="688"/>
      <c r="E19" s="688"/>
      <c r="F19" s="688"/>
      <c r="G19" s="689"/>
      <c r="H19" s="690">
        <f>SUM(H17:J18)</f>
        <v>317.73348899999996</v>
      </c>
      <c r="I19" s="690"/>
      <c r="J19" s="690"/>
      <c r="K19" s="23"/>
      <c r="L19" s="23"/>
    </row>
    <row r="20" spans="1:12" ht="29.25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121.61898600000001</v>
      </c>
      <c r="I20" s="291"/>
      <c r="J20" s="292"/>
      <c r="K20" s="23"/>
      <c r="L20" s="23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23"/>
    </row>
    <row r="22" spans="1:12" x14ac:dyDescent="0.25">
      <c r="A22" s="265" t="s">
        <v>2</v>
      </c>
      <c r="B22" s="267"/>
      <c r="C22" s="676" t="s">
        <v>3</v>
      </c>
      <c r="D22" s="677"/>
      <c r="E22" s="678">
        <v>0.2</v>
      </c>
      <c r="F22" s="678"/>
      <c r="G22" s="678"/>
      <c r="H22" s="271">
        <f>E22*(E12+H19)</f>
        <v>374.5926978</v>
      </c>
      <c r="I22" s="271"/>
      <c r="J22" s="271"/>
      <c r="K22" s="23"/>
      <c r="L22" s="23"/>
    </row>
    <row r="23" spans="1:12" x14ac:dyDescent="0.25">
      <c r="A23" s="265" t="s">
        <v>7</v>
      </c>
      <c r="B23" s="267"/>
      <c r="C23" s="265" t="s">
        <v>41</v>
      </c>
      <c r="D23" s="267"/>
      <c r="E23" s="672">
        <v>2.5000000000000001E-2</v>
      </c>
      <c r="F23" s="672"/>
      <c r="G23" s="672"/>
      <c r="H23" s="271">
        <f>E23*(E12+H19)</f>
        <v>46.824087225</v>
      </c>
      <c r="I23" s="271"/>
      <c r="J23" s="271"/>
      <c r="K23" s="23"/>
      <c r="L23" s="23"/>
    </row>
    <row r="24" spans="1:12" x14ac:dyDescent="0.25">
      <c r="A24" s="265" t="s">
        <v>8</v>
      </c>
      <c r="B24" s="267"/>
      <c r="C24" s="684" t="s">
        <v>42</v>
      </c>
      <c r="D24" s="685"/>
      <c r="E24" s="686">
        <v>0.03</v>
      </c>
      <c r="F24" s="686"/>
      <c r="G24" s="686"/>
      <c r="H24" s="271">
        <f>E24*(E12+H19)</f>
        <v>56.188904669999999</v>
      </c>
      <c r="I24" s="271"/>
      <c r="J24" s="271"/>
      <c r="K24" s="23"/>
      <c r="L24" s="23"/>
    </row>
    <row r="25" spans="1:12" x14ac:dyDescent="0.25">
      <c r="A25" s="265" t="s">
        <v>9</v>
      </c>
      <c r="B25" s="267"/>
      <c r="C25" s="265" t="s">
        <v>43</v>
      </c>
      <c r="D25" s="267"/>
      <c r="E25" s="672">
        <v>1.4999999999999999E-2</v>
      </c>
      <c r="F25" s="672"/>
      <c r="G25" s="672"/>
      <c r="H25" s="271">
        <f>E25*(E12+H19)</f>
        <v>28.094452335</v>
      </c>
      <c r="I25" s="271"/>
      <c r="J25" s="271"/>
      <c r="K25" s="23"/>
      <c r="L25" s="23"/>
    </row>
    <row r="26" spans="1:12" x14ac:dyDescent="0.25">
      <c r="A26" s="265" t="s">
        <v>10</v>
      </c>
      <c r="B26" s="267"/>
      <c r="C26" s="265" t="s">
        <v>44</v>
      </c>
      <c r="D26" s="267"/>
      <c r="E26" s="672">
        <v>0.01</v>
      </c>
      <c r="F26" s="672"/>
      <c r="G26" s="672"/>
      <c r="H26" s="271">
        <f>E26*(E12+H19)</f>
        <v>18.72963489</v>
      </c>
      <c r="I26" s="271"/>
      <c r="J26" s="271"/>
      <c r="K26" s="23"/>
      <c r="L26" s="23"/>
    </row>
    <row r="27" spans="1:12" x14ac:dyDescent="0.25">
      <c r="A27" s="265" t="s">
        <v>11</v>
      </c>
      <c r="B27" s="267"/>
      <c r="C27" s="265" t="s">
        <v>6</v>
      </c>
      <c r="D27" s="267"/>
      <c r="E27" s="672">
        <v>6.0000000000000001E-3</v>
      </c>
      <c r="F27" s="672"/>
      <c r="G27" s="672"/>
      <c r="H27" s="271">
        <f>E27*(E12+H19)</f>
        <v>11.237780934</v>
      </c>
      <c r="I27" s="271"/>
      <c r="J27" s="271"/>
      <c r="K27" s="23"/>
      <c r="L27" s="23"/>
    </row>
    <row r="28" spans="1:12" x14ac:dyDescent="0.25">
      <c r="A28" s="265" t="s">
        <v>39</v>
      </c>
      <c r="B28" s="267"/>
      <c r="C28" s="265" t="s">
        <v>5</v>
      </c>
      <c r="D28" s="267"/>
      <c r="E28" s="672">
        <v>2E-3</v>
      </c>
      <c r="F28" s="672"/>
      <c r="G28" s="672"/>
      <c r="H28" s="271">
        <f>E28*(E12+H19)</f>
        <v>3.745926978</v>
      </c>
      <c r="I28" s="271"/>
      <c r="J28" s="271"/>
      <c r="K28" s="23"/>
      <c r="L28" s="23"/>
    </row>
    <row r="29" spans="1:12" x14ac:dyDescent="0.25">
      <c r="A29" s="679" t="s">
        <v>40</v>
      </c>
      <c r="B29" s="680"/>
      <c r="C29" s="265" t="s">
        <v>4</v>
      </c>
      <c r="D29" s="266"/>
      <c r="E29" s="681">
        <v>0.08</v>
      </c>
      <c r="F29" s="682"/>
      <c r="G29" s="683"/>
      <c r="H29" s="271">
        <f>E29*(E12+H19)</f>
        <v>149.83707912</v>
      </c>
      <c r="I29" s="271"/>
      <c r="J29" s="271"/>
      <c r="K29" s="23"/>
      <c r="L29" s="23"/>
    </row>
    <row r="30" spans="1:12" ht="15.75" thickBot="1" x14ac:dyDescent="0.3">
      <c r="A30" s="656" t="s">
        <v>36</v>
      </c>
      <c r="B30" s="656"/>
      <c r="C30" s="656"/>
      <c r="D30" s="656"/>
      <c r="E30" s="657">
        <f>SUM(E22:G29)</f>
        <v>0.36800000000000005</v>
      </c>
      <c r="F30" s="658"/>
      <c r="G30" s="659"/>
      <c r="H30" s="660">
        <f>SUM(H22:J29)</f>
        <v>689.25056395199999</v>
      </c>
      <c r="I30" s="660"/>
      <c r="J30" s="660"/>
      <c r="K30" s="23"/>
      <c r="L30" s="23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23"/>
    </row>
    <row r="32" spans="1:12" x14ac:dyDescent="0.25">
      <c r="A32" s="265" t="s">
        <v>2</v>
      </c>
      <c r="B32" s="267"/>
      <c r="C32" s="676" t="s">
        <v>46</v>
      </c>
      <c r="D32" s="677"/>
      <c r="E32" s="678"/>
      <c r="F32" s="678"/>
      <c r="G32" s="678"/>
      <c r="H32" s="271">
        <f>(3.9*2*16)-6%*E6</f>
        <v>56.566199999999995</v>
      </c>
      <c r="I32" s="271"/>
      <c r="J32" s="271"/>
      <c r="K32" s="23"/>
      <c r="L32" s="23"/>
    </row>
    <row r="33" spans="1:12" x14ac:dyDescent="0.25">
      <c r="A33" s="265" t="s">
        <v>7</v>
      </c>
      <c r="B33" s="267"/>
      <c r="C33" s="265" t="s">
        <v>47</v>
      </c>
      <c r="D33" s="267"/>
      <c r="E33" s="672"/>
      <c r="F33" s="672"/>
      <c r="G33" s="672"/>
      <c r="H33" s="271">
        <f>(21.63*16)-20%</f>
        <v>345.88</v>
      </c>
      <c r="I33" s="271"/>
      <c r="J33" s="271"/>
      <c r="K33" s="23"/>
      <c r="L33" s="23"/>
    </row>
    <row r="34" spans="1:12" x14ac:dyDescent="0.25">
      <c r="A34" s="265" t="s">
        <v>8</v>
      </c>
      <c r="B34" s="267"/>
      <c r="C34" s="284" t="s">
        <v>49</v>
      </c>
      <c r="D34" s="286"/>
      <c r="E34" s="672"/>
      <c r="F34" s="672"/>
      <c r="G34" s="672"/>
      <c r="H34" s="271">
        <v>36.57</v>
      </c>
      <c r="I34" s="271"/>
      <c r="J34" s="271"/>
      <c r="K34" s="23"/>
      <c r="L34" s="23"/>
    </row>
    <row r="35" spans="1:12" x14ac:dyDescent="0.25">
      <c r="A35" s="265" t="s">
        <v>9</v>
      </c>
      <c r="B35" s="267"/>
      <c r="C35" s="342" t="s">
        <v>28</v>
      </c>
      <c r="D35" s="343"/>
      <c r="E35" s="672"/>
      <c r="F35" s="672"/>
      <c r="G35" s="672"/>
      <c r="H35" s="271">
        <v>25.95</v>
      </c>
      <c r="I35" s="271"/>
      <c r="J35" s="271"/>
      <c r="K35" s="23"/>
      <c r="L35" s="23"/>
    </row>
    <row r="36" spans="1:12" ht="15.75" thickBot="1" x14ac:dyDescent="0.3">
      <c r="A36" s="673" t="s">
        <v>38</v>
      </c>
      <c r="B36" s="674"/>
      <c r="C36" s="674"/>
      <c r="D36" s="674"/>
      <c r="E36" s="674"/>
      <c r="F36" s="674"/>
      <c r="G36" s="675"/>
      <c r="H36" s="655">
        <f>SUM(H32:J35)</f>
        <v>464.96619999999996</v>
      </c>
      <c r="I36" s="655"/>
      <c r="J36" s="655"/>
      <c r="K36" s="23"/>
      <c r="L36" s="23"/>
    </row>
    <row r="37" spans="1:12" ht="15.75" thickBot="1" x14ac:dyDescent="0.3">
      <c r="A37" s="645" t="s">
        <v>72</v>
      </c>
      <c r="B37" s="646"/>
      <c r="C37" s="646"/>
      <c r="D37" s="745"/>
      <c r="E37" s="648">
        <f>H19+H30+H36</f>
        <v>1471.950252952</v>
      </c>
      <c r="F37" s="649"/>
      <c r="G37" s="649"/>
      <c r="H37" s="649"/>
      <c r="I37" s="649"/>
      <c r="J37" s="650"/>
      <c r="K37" s="23"/>
      <c r="L37" s="23"/>
    </row>
    <row r="38" spans="1:12" ht="10.5" customHeight="1" thickBot="1" x14ac:dyDescent="0.3">
      <c r="A38" s="670"/>
      <c r="B38" s="670"/>
      <c r="C38" s="670"/>
      <c r="D38" s="670"/>
      <c r="E38" s="670"/>
      <c r="F38" s="670"/>
      <c r="G38" s="670"/>
      <c r="H38" s="670"/>
      <c r="I38" s="670"/>
      <c r="J38" s="670"/>
      <c r="K38" s="23"/>
      <c r="L38" s="23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23"/>
    </row>
    <row r="40" spans="1:12" x14ac:dyDescent="0.25">
      <c r="A40" s="314" t="s">
        <v>2</v>
      </c>
      <c r="B40" s="315"/>
      <c r="C40" s="314" t="s">
        <v>51</v>
      </c>
      <c r="D40" s="315"/>
      <c r="E40" s="49"/>
      <c r="F40" s="51"/>
      <c r="G40" s="50"/>
      <c r="H40" s="316">
        <f>E12/12*5%</f>
        <v>6.4801250000000001</v>
      </c>
      <c r="I40" s="317"/>
      <c r="J40" s="315"/>
      <c r="K40" s="23"/>
      <c r="L40" s="23"/>
    </row>
    <row r="41" spans="1:12" x14ac:dyDescent="0.25">
      <c r="A41" s="314" t="s">
        <v>7</v>
      </c>
      <c r="B41" s="315"/>
      <c r="C41" s="314" t="s">
        <v>52</v>
      </c>
      <c r="D41" s="315"/>
      <c r="E41" s="49"/>
      <c r="F41" s="51"/>
      <c r="G41" s="50"/>
      <c r="H41" s="316">
        <f>H40*8%</f>
        <v>0.51841000000000004</v>
      </c>
      <c r="I41" s="317"/>
      <c r="J41" s="315"/>
      <c r="K41" s="23"/>
      <c r="L41" s="23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271">
        <f>E42*E12</f>
        <v>0</v>
      </c>
      <c r="I42" s="271"/>
      <c r="J42" s="271"/>
      <c r="K42" s="23"/>
      <c r="L42" s="23"/>
    </row>
    <row r="43" spans="1:12" x14ac:dyDescent="0.25">
      <c r="A43" s="232" t="s">
        <v>9</v>
      </c>
      <c r="B43" s="232"/>
      <c r="C43" s="265" t="s">
        <v>54</v>
      </c>
      <c r="D43" s="267"/>
      <c r="E43" s="341"/>
      <c r="F43" s="341"/>
      <c r="G43" s="341"/>
      <c r="H43" s="271">
        <f>E12/30/12*7*100%</f>
        <v>30.240583333333337</v>
      </c>
      <c r="I43" s="271"/>
      <c r="J43" s="271"/>
      <c r="K43" s="23"/>
      <c r="L43" s="23"/>
    </row>
    <row r="44" spans="1:12" ht="30.75" customHeight="1" x14ac:dyDescent="0.25">
      <c r="A44" s="232" t="s">
        <v>10</v>
      </c>
      <c r="B44" s="232"/>
      <c r="C44" s="342" t="s">
        <v>83</v>
      </c>
      <c r="D44" s="343"/>
      <c r="E44" s="341"/>
      <c r="F44" s="341"/>
      <c r="G44" s="341"/>
      <c r="H44" s="271">
        <f>H43*39.8%</f>
        <v>12.035752166666667</v>
      </c>
      <c r="I44" s="271"/>
      <c r="J44" s="271"/>
      <c r="K44" s="23"/>
      <c r="L44" s="23"/>
    </row>
    <row r="45" spans="1:12" ht="30.75" customHeight="1" thickBot="1" x14ac:dyDescent="0.3">
      <c r="A45" s="634" t="s">
        <v>11</v>
      </c>
      <c r="B45" s="635"/>
      <c r="C45" s="755" t="s">
        <v>53</v>
      </c>
      <c r="D45" s="756"/>
      <c r="E45" s="663"/>
      <c r="F45" s="664"/>
      <c r="G45" s="665"/>
      <c r="H45" s="666">
        <f>E12*5%</f>
        <v>77.761500000000012</v>
      </c>
      <c r="I45" s="667"/>
      <c r="J45" s="668"/>
      <c r="K45" s="23"/>
      <c r="L45" s="23"/>
    </row>
    <row r="46" spans="1:12" ht="15.75" thickBot="1" x14ac:dyDescent="0.3">
      <c r="A46" s="638" t="s">
        <v>333</v>
      </c>
      <c r="B46" s="639"/>
      <c r="C46" s="639"/>
      <c r="D46" s="639"/>
      <c r="E46" s="639"/>
      <c r="F46" s="639"/>
      <c r="G46" s="639"/>
      <c r="H46" s="641">
        <f>SUM(H40:J45)</f>
        <v>127.03637050000002</v>
      </c>
      <c r="I46" s="642"/>
      <c r="J46" s="643"/>
      <c r="K46" s="23"/>
      <c r="L46" s="23"/>
    </row>
    <row r="47" spans="1:12" ht="10.5" customHeight="1" thickBot="1" x14ac:dyDescent="0.3">
      <c r="E47" s="17"/>
      <c r="F47" s="17"/>
      <c r="G47" s="17"/>
      <c r="H47" s="18"/>
      <c r="I47" s="18"/>
      <c r="J47" s="18"/>
      <c r="K47" s="23"/>
      <c r="L47" s="23"/>
    </row>
    <row r="48" spans="1:12" ht="33" customHeight="1" thickBot="1" x14ac:dyDescent="0.3">
      <c r="A48" s="494" t="s">
        <v>128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23"/>
    </row>
    <row r="49" spans="1:12" x14ac:dyDescent="0.25">
      <c r="A49" s="314" t="s">
        <v>2</v>
      </c>
      <c r="B49" s="315"/>
      <c r="C49" s="314" t="s">
        <v>56</v>
      </c>
      <c r="D49" s="315"/>
      <c r="E49" s="49"/>
      <c r="F49" s="51"/>
      <c r="G49" s="50"/>
      <c r="H49" s="316">
        <f>E20/12*5%</f>
        <v>3.2583333333333336E-4</v>
      </c>
      <c r="I49" s="317"/>
      <c r="J49" s="315"/>
      <c r="K49" s="23"/>
      <c r="L49" s="23"/>
    </row>
    <row r="50" spans="1:12" x14ac:dyDescent="0.25">
      <c r="A50" s="314" t="s">
        <v>7</v>
      </c>
      <c r="B50" s="315"/>
      <c r="C50" s="314" t="s">
        <v>57</v>
      </c>
      <c r="D50" s="315"/>
      <c r="E50" s="49"/>
      <c r="F50" s="51"/>
      <c r="G50" s="50"/>
      <c r="H50" s="316">
        <f>E12/30/12</f>
        <v>4.3200833333333337</v>
      </c>
      <c r="I50" s="317"/>
      <c r="J50" s="315"/>
      <c r="K50" s="23"/>
      <c r="L50" s="23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271">
        <f>E12/30/12*5*1.5%</f>
        <v>0.32400625</v>
      </c>
      <c r="I51" s="271"/>
      <c r="J51" s="271"/>
      <c r="K51" s="23"/>
      <c r="L51" s="23"/>
    </row>
    <row r="52" spans="1:12" ht="31.5" customHeight="1" x14ac:dyDescent="0.25">
      <c r="A52" s="232" t="s">
        <v>9</v>
      </c>
      <c r="B52" s="232"/>
      <c r="C52" s="661" t="s">
        <v>59</v>
      </c>
      <c r="D52" s="662"/>
      <c r="E52" s="341"/>
      <c r="F52" s="341"/>
      <c r="G52" s="341"/>
      <c r="H52" s="271">
        <f>E12/30/12*15*8%</f>
        <v>5.1841000000000008</v>
      </c>
      <c r="I52" s="271"/>
      <c r="J52" s="271"/>
      <c r="K52" s="23"/>
      <c r="L52" s="23"/>
    </row>
    <row r="53" spans="1:12" x14ac:dyDescent="0.25">
      <c r="A53" s="232" t="s">
        <v>10</v>
      </c>
      <c r="B53" s="232"/>
      <c r="C53" s="342" t="s">
        <v>60</v>
      </c>
      <c r="D53" s="343"/>
      <c r="E53" s="341"/>
      <c r="F53" s="341"/>
      <c r="G53" s="341"/>
      <c r="H53" s="271">
        <f>E20*5%</f>
        <v>3.9100000000000003E-3</v>
      </c>
      <c r="I53" s="271"/>
      <c r="J53" s="271"/>
      <c r="K53" s="23"/>
      <c r="L53" s="23"/>
    </row>
    <row r="54" spans="1:12" x14ac:dyDescent="0.25">
      <c r="A54" s="232" t="s">
        <v>11</v>
      </c>
      <c r="B54" s="232"/>
      <c r="C54" s="342" t="s">
        <v>61</v>
      </c>
      <c r="D54" s="343"/>
      <c r="E54" s="341"/>
      <c r="F54" s="341"/>
      <c r="G54" s="341"/>
      <c r="H54" s="271">
        <f>E12/30/12*5*40%</f>
        <v>8.6401666666666674</v>
      </c>
      <c r="I54" s="271"/>
      <c r="J54" s="271"/>
      <c r="K54" s="23"/>
      <c r="L54" s="23"/>
    </row>
    <row r="55" spans="1:12" ht="30" customHeight="1" x14ac:dyDescent="0.25">
      <c r="A55" s="232" t="s">
        <v>39</v>
      </c>
      <c r="B55" s="232"/>
      <c r="C55" s="342" t="s">
        <v>62</v>
      </c>
      <c r="D55" s="343"/>
      <c r="E55" s="341"/>
      <c r="F55" s="341"/>
      <c r="G55" s="341"/>
      <c r="H55" s="271">
        <f>SUM(H49:J54)*39.8%</f>
        <v>7.3520916491666668</v>
      </c>
      <c r="I55" s="271"/>
      <c r="J55" s="271"/>
      <c r="K55" s="23"/>
      <c r="L55" s="23"/>
    </row>
    <row r="56" spans="1:12" ht="15.75" thickBot="1" x14ac:dyDescent="0.3">
      <c r="A56" s="656" t="s">
        <v>36</v>
      </c>
      <c r="B56" s="656"/>
      <c r="C56" s="656"/>
      <c r="D56" s="656"/>
      <c r="E56" s="657"/>
      <c r="F56" s="658"/>
      <c r="G56" s="659"/>
      <c r="H56" s="660">
        <f>SUM(H49:J55)</f>
        <v>25.824683732500002</v>
      </c>
      <c r="I56" s="660"/>
      <c r="J56" s="660"/>
      <c r="K56" s="23"/>
      <c r="L56" s="23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23"/>
    </row>
    <row r="58" spans="1:12" ht="32.25" customHeight="1" x14ac:dyDescent="0.25">
      <c r="A58" s="314" t="s">
        <v>2</v>
      </c>
      <c r="B58" s="315"/>
      <c r="C58" s="344" t="s">
        <v>64</v>
      </c>
      <c r="D58" s="345"/>
      <c r="E58" s="49"/>
      <c r="F58" s="51"/>
      <c r="G58" s="50"/>
      <c r="H58" s="316">
        <f>((((E12+(E12/3))*0.3333)/12)*2%)</f>
        <v>1.1519070199999999</v>
      </c>
      <c r="I58" s="317"/>
      <c r="J58" s="315"/>
      <c r="K58" s="23"/>
      <c r="L58" s="23"/>
    </row>
    <row r="59" spans="1:12" ht="31.5" customHeight="1" x14ac:dyDescent="0.25">
      <c r="A59" s="314" t="s">
        <v>7</v>
      </c>
      <c r="B59" s="315"/>
      <c r="C59" s="344" t="s">
        <v>65</v>
      </c>
      <c r="D59" s="345"/>
      <c r="E59" s="49"/>
      <c r="F59" s="51"/>
      <c r="G59" s="50"/>
      <c r="H59" s="316">
        <f>H58*39.8%</f>
        <v>0.45845899395999989</v>
      </c>
      <c r="I59" s="317"/>
      <c r="J59" s="315"/>
      <c r="K59" s="23"/>
      <c r="L59" s="23"/>
    </row>
    <row r="60" spans="1:12" ht="45" customHeight="1" x14ac:dyDescent="0.25">
      <c r="A60" s="318" t="s">
        <v>8</v>
      </c>
      <c r="B60" s="319"/>
      <c r="C60" s="344" t="s">
        <v>66</v>
      </c>
      <c r="D60" s="345"/>
      <c r="E60" s="322"/>
      <c r="F60" s="323"/>
      <c r="G60" s="324"/>
      <c r="H60" s="271">
        <f>(((E12+H17)*0.333)*2%)*39.8%</f>
        <v>4.4658143971981206</v>
      </c>
      <c r="I60" s="271"/>
      <c r="J60" s="271"/>
      <c r="K60" s="23"/>
      <c r="L60" s="23"/>
    </row>
    <row r="61" spans="1:12" x14ac:dyDescent="0.25">
      <c r="A61" s="232" t="s">
        <v>9</v>
      </c>
      <c r="B61" s="232"/>
      <c r="C61" s="265" t="s">
        <v>67</v>
      </c>
      <c r="D61" s="267"/>
      <c r="E61" s="341"/>
      <c r="F61" s="341"/>
      <c r="G61" s="341"/>
      <c r="H61" s="271"/>
      <c r="I61" s="271"/>
      <c r="J61" s="271"/>
      <c r="K61" s="23"/>
      <c r="L61" s="23"/>
    </row>
    <row r="62" spans="1:12" ht="15.75" thickBot="1" x14ac:dyDescent="0.3">
      <c r="A62" s="656" t="s">
        <v>36</v>
      </c>
      <c r="B62" s="656"/>
      <c r="C62" s="656"/>
      <c r="D62" s="656"/>
      <c r="E62" s="657"/>
      <c r="F62" s="658"/>
      <c r="G62" s="659"/>
      <c r="H62" s="660">
        <f>SUM(H58:J61)</f>
        <v>6.0761804111581199</v>
      </c>
      <c r="I62" s="660"/>
      <c r="J62" s="660"/>
      <c r="K62" s="23"/>
      <c r="L62" s="23"/>
    </row>
    <row r="63" spans="1:12" ht="30" customHeight="1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23"/>
    </row>
    <row r="64" spans="1:12" ht="33" customHeight="1" x14ac:dyDescent="0.25">
      <c r="A64" s="314" t="s">
        <v>2</v>
      </c>
      <c r="B64" s="315"/>
      <c r="C64" s="344" t="s">
        <v>69</v>
      </c>
      <c r="D64" s="345"/>
      <c r="E64" s="49"/>
      <c r="F64" s="51"/>
      <c r="G64" s="50"/>
      <c r="H64" s="316">
        <f>((((E18+(E18/3))*0.3333)/12)*2%)</f>
        <v>8.9620666666666654E-5</v>
      </c>
      <c r="I64" s="317"/>
      <c r="J64" s="315"/>
      <c r="K64" s="23"/>
      <c r="L64" s="23"/>
    </row>
    <row r="65" spans="1:12" ht="29.25" customHeight="1" x14ac:dyDescent="0.25">
      <c r="A65" s="314" t="s">
        <v>7</v>
      </c>
      <c r="B65" s="315"/>
      <c r="C65" s="344" t="s">
        <v>70</v>
      </c>
      <c r="D65" s="345"/>
      <c r="E65" s="49"/>
      <c r="F65" s="51"/>
      <c r="G65" s="50"/>
      <c r="H65" s="316">
        <f>H64*39.8%</f>
        <v>3.5669025333333325E-5</v>
      </c>
      <c r="I65" s="317"/>
      <c r="J65" s="315"/>
      <c r="K65" s="23"/>
      <c r="L65" s="23"/>
    </row>
    <row r="66" spans="1:12" ht="15.75" thickBot="1" x14ac:dyDescent="0.3">
      <c r="A66" s="651" t="s">
        <v>36</v>
      </c>
      <c r="B66" s="651"/>
      <c r="C66" s="651"/>
      <c r="D66" s="651"/>
      <c r="E66" s="652"/>
      <c r="F66" s="653"/>
      <c r="G66" s="654"/>
      <c r="H66" s="655">
        <f>SUM(H64:J65)</f>
        <v>1.2528969199999997E-4</v>
      </c>
      <c r="I66" s="655"/>
      <c r="J66" s="655"/>
      <c r="K66" s="23"/>
      <c r="L66" s="23"/>
    </row>
    <row r="67" spans="1:12" ht="15.75" thickBot="1" x14ac:dyDescent="0.3">
      <c r="A67" s="645" t="s">
        <v>71</v>
      </c>
      <c r="B67" s="646"/>
      <c r="C67" s="646"/>
      <c r="D67" s="745"/>
      <c r="E67" s="648">
        <f>H66+H62+H56</f>
        <v>31.900989433350123</v>
      </c>
      <c r="F67" s="649"/>
      <c r="G67" s="649"/>
      <c r="H67" s="649"/>
      <c r="I67" s="649"/>
      <c r="J67" s="650"/>
      <c r="K67" s="23"/>
      <c r="L67" s="23"/>
    </row>
    <row r="68" spans="1:12" ht="10.5" customHeight="1" thickBo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  <c r="L68" s="23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23"/>
    </row>
    <row r="70" spans="1:12" x14ac:dyDescent="0.25">
      <c r="A70" s="314" t="s">
        <v>2</v>
      </c>
      <c r="B70" s="315"/>
      <c r="C70" s="314" t="s">
        <v>74</v>
      </c>
      <c r="D70" s="315"/>
      <c r="E70" s="314"/>
      <c r="F70" s="317"/>
      <c r="G70" s="315"/>
      <c r="H70" s="316">
        <v>300</v>
      </c>
      <c r="I70" s="317"/>
      <c r="J70" s="315"/>
      <c r="K70" s="23"/>
      <c r="L70" s="23"/>
    </row>
    <row r="71" spans="1:12" x14ac:dyDescent="0.25">
      <c r="A71" s="314" t="s">
        <v>7</v>
      </c>
      <c r="B71" s="315"/>
      <c r="C71" s="314" t="s">
        <v>75</v>
      </c>
      <c r="D71" s="315"/>
      <c r="E71" s="49"/>
      <c r="F71" s="51"/>
      <c r="G71" s="50"/>
      <c r="H71" s="316">
        <v>5</v>
      </c>
      <c r="I71" s="317"/>
      <c r="J71" s="315"/>
      <c r="K71" s="23"/>
      <c r="L71" s="23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271">
        <v>43.5</v>
      </c>
      <c r="I72" s="271"/>
      <c r="J72" s="271"/>
      <c r="K72" s="23"/>
      <c r="L72" s="23"/>
    </row>
    <row r="73" spans="1:12" ht="15.75" thickBot="1" x14ac:dyDescent="0.3">
      <c r="A73" s="633" t="s">
        <v>9</v>
      </c>
      <c r="B73" s="633"/>
      <c r="C73" s="634" t="s">
        <v>28</v>
      </c>
      <c r="D73" s="635"/>
      <c r="E73" s="636"/>
      <c r="F73" s="636"/>
      <c r="G73" s="636"/>
      <c r="H73" s="637">
        <v>5</v>
      </c>
      <c r="I73" s="637"/>
      <c r="J73" s="637"/>
      <c r="K73" s="23"/>
      <c r="L73" s="23"/>
    </row>
    <row r="74" spans="1:12" ht="15.75" thickBot="1" x14ac:dyDescent="0.3">
      <c r="A74" s="638" t="s">
        <v>336</v>
      </c>
      <c r="B74" s="639"/>
      <c r="C74" s="639"/>
      <c r="D74" s="639"/>
      <c r="E74" s="639"/>
      <c r="F74" s="639"/>
      <c r="G74" s="639"/>
      <c r="H74" s="641">
        <f>SUM(H70:J73)</f>
        <v>353.5</v>
      </c>
      <c r="I74" s="642"/>
      <c r="J74" s="643"/>
      <c r="K74" s="23"/>
      <c r="L74" s="23"/>
    </row>
    <row r="75" spans="1:12" ht="10.5" customHeight="1" thickBot="1" x14ac:dyDescent="0.3">
      <c r="E75" s="17"/>
      <c r="F75" s="17"/>
      <c r="G75" s="17"/>
      <c r="H75" s="18"/>
      <c r="I75" s="18"/>
      <c r="J75" s="18"/>
      <c r="K75" s="23"/>
      <c r="L75" s="23"/>
    </row>
    <row r="76" spans="1:12" s="52" customFormat="1" ht="33" customHeight="1" thickBot="1" x14ac:dyDescent="0.3">
      <c r="A76" s="785" t="s">
        <v>84</v>
      </c>
      <c r="B76" s="786"/>
      <c r="C76" s="786"/>
      <c r="D76" s="786"/>
      <c r="E76" s="786"/>
      <c r="F76" s="786"/>
      <c r="G76" s="786"/>
      <c r="H76" s="786"/>
      <c r="I76" s="786"/>
      <c r="J76" s="787"/>
      <c r="K76" s="23"/>
    </row>
    <row r="77" spans="1:12" x14ac:dyDescent="0.25">
      <c r="A77" s="314" t="s">
        <v>2</v>
      </c>
      <c r="B77" s="315"/>
      <c r="C77" s="314" t="s">
        <v>77</v>
      </c>
      <c r="D77" s="315"/>
      <c r="E77" s="644">
        <v>7.0000000000000007E-2</v>
      </c>
      <c r="F77" s="317"/>
      <c r="G77" s="315"/>
      <c r="H77" s="316">
        <f>(H74+E67+H46+E37+E12)*E77</f>
        <v>247.77323290197455</v>
      </c>
      <c r="I77" s="317"/>
      <c r="J77" s="315"/>
      <c r="K77" s="23"/>
      <c r="L77" s="23"/>
    </row>
    <row r="78" spans="1:12" x14ac:dyDescent="0.25">
      <c r="A78" s="314" t="s">
        <v>7</v>
      </c>
      <c r="B78" s="315"/>
      <c r="C78" s="314" t="s">
        <v>12</v>
      </c>
      <c r="D78" s="315"/>
      <c r="E78" s="644">
        <v>7.5774185115783349E-2</v>
      </c>
      <c r="F78" s="317"/>
      <c r="G78" s="315"/>
      <c r="H78" s="316">
        <f>E78*(H74+E67+H46+E37+E12)</f>
        <v>268.21164023786173</v>
      </c>
      <c r="I78" s="317"/>
      <c r="J78" s="315"/>
      <c r="K78" s="23"/>
      <c r="L78" s="23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271">
        <f>(H74+E67+H46+E37+E12)/E79</f>
        <v>4127.8339508867057</v>
      </c>
      <c r="I79" s="271"/>
      <c r="J79" s="271"/>
      <c r="K79" s="23"/>
      <c r="L79" s="23"/>
    </row>
    <row r="80" spans="1:12" x14ac:dyDescent="0.25">
      <c r="A80" s="232" t="s">
        <v>9</v>
      </c>
      <c r="B80" s="232"/>
      <c r="C80" s="265" t="s">
        <v>79</v>
      </c>
      <c r="D80" s="267"/>
      <c r="E80" s="341">
        <v>1.6500000000000001E-2</v>
      </c>
      <c r="F80" s="341"/>
      <c r="G80" s="341"/>
      <c r="H80" s="271">
        <f>E80*H87</f>
        <v>54.550980000000003</v>
      </c>
      <c r="I80" s="271"/>
      <c r="J80" s="271"/>
      <c r="K80" s="23"/>
      <c r="L80" s="23"/>
    </row>
    <row r="81" spans="1:12" x14ac:dyDescent="0.25">
      <c r="A81" s="232" t="s">
        <v>9</v>
      </c>
      <c r="B81" s="232"/>
      <c r="C81" s="265" t="s">
        <v>80</v>
      </c>
      <c r="D81" s="267"/>
      <c r="E81" s="341">
        <v>7.5999999999999998E-2</v>
      </c>
      <c r="F81" s="341"/>
      <c r="G81" s="341"/>
      <c r="H81" s="271">
        <f>E81*H87</f>
        <v>251.26512</v>
      </c>
      <c r="I81" s="271"/>
      <c r="J81" s="271"/>
      <c r="K81" s="23"/>
      <c r="L81" s="23"/>
    </row>
    <row r="82" spans="1:12" x14ac:dyDescent="0.25">
      <c r="A82" s="232" t="s">
        <v>10</v>
      </c>
      <c r="B82" s="232"/>
      <c r="C82" s="265" t="s">
        <v>81</v>
      </c>
      <c r="D82" s="267"/>
      <c r="E82" s="341"/>
      <c r="F82" s="341"/>
      <c r="G82" s="341"/>
      <c r="H82" s="271"/>
      <c r="I82" s="271"/>
      <c r="J82" s="271"/>
      <c r="K82" s="23"/>
      <c r="L82" s="23"/>
    </row>
    <row r="83" spans="1:12" ht="15.75" thickBot="1" x14ac:dyDescent="0.3">
      <c r="A83" s="633" t="s">
        <v>11</v>
      </c>
      <c r="B83" s="633"/>
      <c r="C83" s="634" t="s">
        <v>82</v>
      </c>
      <c r="D83" s="635"/>
      <c r="E83" s="636">
        <v>0.05</v>
      </c>
      <c r="F83" s="636"/>
      <c r="G83" s="636"/>
      <c r="H83" s="637">
        <f>E83*H87</f>
        <v>165.30600000000001</v>
      </c>
      <c r="I83" s="637"/>
      <c r="J83" s="637"/>
      <c r="K83" s="23"/>
      <c r="L83" s="23"/>
    </row>
    <row r="84" spans="1:12" ht="15.75" thickBot="1" x14ac:dyDescent="0.3">
      <c r="A84" s="638" t="s">
        <v>340</v>
      </c>
      <c r="B84" s="639"/>
      <c r="C84" s="639"/>
      <c r="D84" s="639"/>
      <c r="E84" s="639"/>
      <c r="F84" s="639"/>
      <c r="G84" s="639"/>
      <c r="H84" s="641">
        <f>H77+H78+H80+H81+H83</f>
        <v>987.10697313983633</v>
      </c>
      <c r="I84" s="642"/>
      <c r="J84" s="643"/>
      <c r="K84" s="23"/>
      <c r="L84" s="23"/>
    </row>
    <row r="85" spans="1:12" ht="10.5" customHeight="1" thickBot="1" x14ac:dyDescent="0.3">
      <c r="E85" s="17"/>
      <c r="F85" s="17"/>
      <c r="G85" s="17"/>
      <c r="H85" s="18"/>
      <c r="I85" s="18"/>
      <c r="J85" s="18"/>
      <c r="K85" s="23"/>
      <c r="L85" s="23"/>
    </row>
    <row r="86" spans="1:12" ht="15.75" thickBot="1" x14ac:dyDescent="0.3">
      <c r="A86" s="627" t="s">
        <v>85</v>
      </c>
      <c r="B86" s="628"/>
      <c r="C86" s="628"/>
      <c r="D86" s="628"/>
      <c r="E86" s="628"/>
      <c r="F86" s="628"/>
      <c r="G86" s="629"/>
      <c r="H86" s="757">
        <f>SUM(H84+H74+E67+H46+E37+E12)</f>
        <v>4526.724586025186</v>
      </c>
      <c r="I86" s="758"/>
      <c r="J86" s="759"/>
    </row>
    <row r="87" spans="1:12" ht="15.75" thickBot="1" x14ac:dyDescent="0.3">
      <c r="H87" s="126">
        <v>3306.12</v>
      </c>
      <c r="I87" s="126"/>
      <c r="J87" s="126"/>
    </row>
  </sheetData>
  <mergeCells count="230">
    <mergeCell ref="A1:J1"/>
    <mergeCell ref="A46:G46"/>
    <mergeCell ref="A74:G74"/>
    <mergeCell ref="A84:G8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6337778862885"/>
  </sheetPr>
  <dimension ref="A1:L87"/>
  <sheetViews>
    <sheetView topLeftCell="A37" workbookViewId="0">
      <selection activeCell="D89" sqref="D89"/>
    </sheetView>
  </sheetViews>
  <sheetFormatPr defaultRowHeight="15" x14ac:dyDescent="0.25"/>
  <cols>
    <col min="1" max="1" width="7.42578125" bestFit="1" customWidth="1"/>
    <col min="2" max="2" width="2" bestFit="1" customWidth="1"/>
    <col min="3" max="3" width="6.7109375" customWidth="1"/>
    <col min="4" max="4" width="45.7109375" customWidth="1"/>
    <col min="5" max="5" width="3.7109375" customWidth="1"/>
    <col min="6" max="6" width="2.5703125" customWidth="1"/>
    <col min="7" max="7" width="4" customWidth="1"/>
    <col min="8" max="8" width="5.5703125" customWidth="1"/>
    <col min="9" max="9" width="3.28515625" customWidth="1"/>
    <col min="10" max="10" width="3.140625" customWidth="1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23"/>
    </row>
    <row r="2" spans="1:12" ht="31.5" customHeight="1" thickBot="1" x14ac:dyDescent="0.3">
      <c r="A2" s="554" t="s">
        <v>0</v>
      </c>
      <c r="B2" s="555"/>
      <c r="C2" s="556"/>
      <c r="D2" s="737" t="s">
        <v>354</v>
      </c>
      <c r="E2" s="738"/>
      <c r="F2" s="738"/>
      <c r="G2" s="738"/>
      <c r="H2" s="738"/>
      <c r="I2" s="738"/>
      <c r="J2" s="739"/>
      <c r="K2" s="23"/>
    </row>
    <row r="3" spans="1:12" ht="9.75" customHeight="1" thickBot="1" x14ac:dyDescent="0.3">
      <c r="A3" s="267"/>
      <c r="B3" s="232"/>
      <c r="C3" s="232"/>
      <c r="D3" s="232"/>
      <c r="E3" s="232"/>
      <c r="F3" s="232"/>
      <c r="G3" s="232"/>
      <c r="H3" s="232"/>
      <c r="I3" s="232"/>
      <c r="J3" s="265"/>
      <c r="K3" s="23"/>
      <c r="L3" s="23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23"/>
    </row>
    <row r="5" spans="1:12" x14ac:dyDescent="0.25">
      <c r="A5" s="232" t="s">
        <v>31</v>
      </c>
      <c r="B5" s="232"/>
      <c r="C5" s="232"/>
      <c r="D5" s="232"/>
      <c r="E5" s="232"/>
      <c r="F5" s="232"/>
      <c r="G5" s="232"/>
      <c r="H5" s="232"/>
      <c r="I5" s="232"/>
      <c r="J5" s="232"/>
      <c r="K5" s="23"/>
      <c r="L5" s="23"/>
    </row>
    <row r="6" spans="1:12" x14ac:dyDescent="0.25">
      <c r="A6" s="20" t="s">
        <v>2</v>
      </c>
      <c r="B6" s="702" t="s">
        <v>1</v>
      </c>
      <c r="C6" s="703"/>
      <c r="D6" s="704"/>
      <c r="E6" s="788">
        <v>1137.23</v>
      </c>
      <c r="F6" s="788"/>
      <c r="G6" s="788"/>
      <c r="H6" s="788"/>
      <c r="I6" s="788"/>
      <c r="J6" s="788"/>
      <c r="K6" s="23"/>
      <c r="L6" s="23"/>
    </row>
    <row r="7" spans="1:12" x14ac:dyDescent="0.25">
      <c r="A7" s="20" t="s">
        <v>7</v>
      </c>
      <c r="B7" s="702" t="s">
        <v>25</v>
      </c>
      <c r="C7" s="703"/>
      <c r="D7" s="704"/>
      <c r="E7" s="790"/>
      <c r="F7" s="791"/>
      <c r="G7" s="791"/>
      <c r="H7" s="791"/>
      <c r="I7" s="791"/>
      <c r="J7" s="792"/>
      <c r="K7" s="23"/>
      <c r="L7" s="23"/>
    </row>
    <row r="8" spans="1:12" x14ac:dyDescent="0.25">
      <c r="A8" s="20" t="s">
        <v>8</v>
      </c>
      <c r="B8" s="702" t="s">
        <v>26</v>
      </c>
      <c r="C8" s="703"/>
      <c r="D8" s="704"/>
      <c r="E8" s="790">
        <f>(((E6/210)*20%)*9)*16</f>
        <v>155.96297142857145</v>
      </c>
      <c r="F8" s="791"/>
      <c r="G8" s="791"/>
      <c r="H8" s="791"/>
      <c r="I8" s="791"/>
      <c r="J8" s="792"/>
      <c r="K8" s="23"/>
      <c r="L8" s="23"/>
    </row>
    <row r="9" spans="1:12" x14ac:dyDescent="0.25">
      <c r="A9" s="20" t="s">
        <v>9</v>
      </c>
      <c r="B9" s="702" t="s">
        <v>27</v>
      </c>
      <c r="C9" s="703"/>
      <c r="D9" s="704"/>
      <c r="E9" s="790">
        <f>(((E6/210)*20%)*0.14)*16</f>
        <v>2.4260906666666671</v>
      </c>
      <c r="F9" s="791"/>
      <c r="G9" s="791"/>
      <c r="H9" s="791"/>
      <c r="I9" s="791"/>
      <c r="J9" s="792"/>
      <c r="K9" s="23"/>
      <c r="L9" s="23"/>
    </row>
    <row r="10" spans="1:12" x14ac:dyDescent="0.25">
      <c r="A10" s="20" t="s">
        <v>10</v>
      </c>
      <c r="B10" s="702" t="s">
        <v>28</v>
      </c>
      <c r="C10" s="703"/>
      <c r="D10" s="704"/>
      <c r="E10" s="788">
        <f>(((E8+E9)/25)*5)</f>
        <v>31.677812419047623</v>
      </c>
      <c r="F10" s="788"/>
      <c r="G10" s="788"/>
      <c r="H10" s="788"/>
      <c r="I10" s="788"/>
      <c r="J10" s="788"/>
      <c r="K10" s="23"/>
      <c r="L10" s="23"/>
    </row>
    <row r="11" spans="1:12" ht="29.25" customHeight="1" thickBot="1" x14ac:dyDescent="0.3">
      <c r="A11" s="127" t="s">
        <v>11</v>
      </c>
      <c r="B11" s="609" t="s">
        <v>92</v>
      </c>
      <c r="C11" s="610"/>
      <c r="D11" s="611"/>
      <c r="E11" s="789"/>
      <c r="F11" s="789"/>
      <c r="G11" s="789"/>
      <c r="H11" s="789"/>
      <c r="I11" s="789"/>
      <c r="J11" s="789"/>
      <c r="K11" s="23"/>
      <c r="L11" s="23"/>
    </row>
    <row r="12" spans="1:12" ht="15.75" thickBot="1" x14ac:dyDescent="0.3">
      <c r="A12" s="645" t="s">
        <v>330</v>
      </c>
      <c r="B12" s="646"/>
      <c r="C12" s="646"/>
      <c r="D12" s="745"/>
      <c r="E12" s="641">
        <f>SUM(E6:J11)</f>
        <v>1327.2968745142857</v>
      </c>
      <c r="F12" s="642"/>
      <c r="G12" s="642"/>
      <c r="H12" s="642"/>
      <c r="I12" s="642"/>
      <c r="J12" s="643"/>
      <c r="K12" s="23"/>
      <c r="L12" s="23"/>
    </row>
    <row r="13" spans="1:12" ht="28.5" customHeight="1" x14ac:dyDescent="0.25">
      <c r="A13" s="551" t="s">
        <v>29</v>
      </c>
      <c r="B13" s="715"/>
      <c r="C13" s="715"/>
      <c r="D13" s="716"/>
      <c r="E13" s="548">
        <f>E12*E30</f>
        <v>488.44524982125722</v>
      </c>
      <c r="F13" s="549"/>
      <c r="G13" s="549"/>
      <c r="H13" s="549"/>
      <c r="I13" s="549"/>
      <c r="J13" s="550"/>
      <c r="K13" s="23"/>
      <c r="L13" s="23"/>
    </row>
    <row r="14" spans="1:12" ht="9" customHeight="1" thickBot="1" x14ac:dyDescent="0.3">
      <c r="A14" s="232"/>
      <c r="B14" s="232"/>
      <c r="C14" s="232"/>
      <c r="D14" s="232"/>
      <c r="E14" s="232"/>
      <c r="F14" s="232"/>
      <c r="G14" s="232"/>
      <c r="H14" s="232"/>
      <c r="I14" s="232"/>
      <c r="J14" s="232"/>
      <c r="K14" s="23"/>
      <c r="L14" s="23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23"/>
    </row>
    <row r="16" spans="1:12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23"/>
    </row>
    <row r="17" spans="1:12" x14ac:dyDescent="0.25">
      <c r="A17" s="20" t="s">
        <v>2</v>
      </c>
      <c r="B17" s="265" t="s">
        <v>34</v>
      </c>
      <c r="C17" s="266"/>
      <c r="D17" s="267"/>
      <c r="E17" s="278">
        <v>8.3299999999999999E-2</v>
      </c>
      <c r="F17" s="279"/>
      <c r="G17" s="280"/>
      <c r="H17" s="271">
        <f>E17*E12</f>
        <v>110.56382964704</v>
      </c>
      <c r="I17" s="271"/>
      <c r="J17" s="271"/>
      <c r="K17" s="23"/>
      <c r="L17" s="23"/>
    </row>
    <row r="18" spans="1:12" x14ac:dyDescent="0.25">
      <c r="A18" s="20" t="s">
        <v>7</v>
      </c>
      <c r="B18" s="265" t="s">
        <v>35</v>
      </c>
      <c r="C18" s="266"/>
      <c r="D18" s="267"/>
      <c r="E18" s="268">
        <v>0.121</v>
      </c>
      <c r="F18" s="269"/>
      <c r="G18" s="270"/>
      <c r="H18" s="271">
        <f>E18*E12</f>
        <v>160.60292181622856</v>
      </c>
      <c r="I18" s="271"/>
      <c r="J18" s="271"/>
      <c r="K18" s="23"/>
      <c r="L18" s="23"/>
    </row>
    <row r="19" spans="1:12" x14ac:dyDescent="0.25">
      <c r="A19" s="687" t="s">
        <v>36</v>
      </c>
      <c r="B19" s="688"/>
      <c r="C19" s="688"/>
      <c r="D19" s="688"/>
      <c r="E19" s="688"/>
      <c r="F19" s="688"/>
      <c r="G19" s="689"/>
      <c r="H19" s="690">
        <f>SUM(H17:J18)</f>
        <v>271.16675146326855</v>
      </c>
      <c r="I19" s="690"/>
      <c r="J19" s="690"/>
      <c r="K19" s="23"/>
      <c r="L19" s="23"/>
    </row>
    <row r="20" spans="1:12" ht="29.25" customHeight="1" thickBot="1" x14ac:dyDescent="0.3">
      <c r="A20" s="21" t="s">
        <v>8</v>
      </c>
      <c r="B20" s="284" t="s">
        <v>37</v>
      </c>
      <c r="C20" s="285"/>
      <c r="D20" s="286"/>
      <c r="E20" s="287">
        <v>7.8200000000000006E-2</v>
      </c>
      <c r="F20" s="288"/>
      <c r="G20" s="289"/>
      <c r="H20" s="290">
        <f>E12*E20</f>
        <v>103.79461558701715</v>
      </c>
      <c r="I20" s="291"/>
      <c r="J20" s="292"/>
      <c r="K20" s="23"/>
      <c r="L20" s="23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23"/>
    </row>
    <row r="22" spans="1:12" x14ac:dyDescent="0.25">
      <c r="A22" s="265" t="s">
        <v>2</v>
      </c>
      <c r="B22" s="267"/>
      <c r="C22" s="676" t="s">
        <v>3</v>
      </c>
      <c r="D22" s="677"/>
      <c r="E22" s="678">
        <v>0.2</v>
      </c>
      <c r="F22" s="678"/>
      <c r="G22" s="678"/>
      <c r="H22" s="271">
        <f>E22*(E12+H19)</f>
        <v>319.69272519551089</v>
      </c>
      <c r="I22" s="271"/>
      <c r="J22" s="271"/>
      <c r="K22" s="23"/>
      <c r="L22" s="23"/>
    </row>
    <row r="23" spans="1:12" x14ac:dyDescent="0.25">
      <c r="A23" s="265" t="s">
        <v>7</v>
      </c>
      <c r="B23" s="267"/>
      <c r="C23" s="265" t="s">
        <v>41</v>
      </c>
      <c r="D23" s="267"/>
      <c r="E23" s="672">
        <v>2.5000000000000001E-2</v>
      </c>
      <c r="F23" s="672"/>
      <c r="G23" s="672"/>
      <c r="H23" s="271">
        <f>E23*(E12+H19)</f>
        <v>39.961590649438861</v>
      </c>
      <c r="I23" s="271"/>
      <c r="J23" s="271"/>
      <c r="K23" s="23"/>
      <c r="L23" s="23"/>
    </row>
    <row r="24" spans="1:12" x14ac:dyDescent="0.25">
      <c r="A24" s="265" t="s">
        <v>8</v>
      </c>
      <c r="B24" s="267"/>
      <c r="C24" s="684" t="s">
        <v>42</v>
      </c>
      <c r="D24" s="685"/>
      <c r="E24" s="686">
        <v>0.03</v>
      </c>
      <c r="F24" s="686"/>
      <c r="G24" s="686"/>
      <c r="H24" s="271">
        <f>E24*(E12+H19)</f>
        <v>47.953908779326625</v>
      </c>
      <c r="I24" s="271"/>
      <c r="J24" s="271"/>
      <c r="K24" s="23"/>
      <c r="L24" s="23"/>
    </row>
    <row r="25" spans="1:12" x14ac:dyDescent="0.25">
      <c r="A25" s="265" t="s">
        <v>9</v>
      </c>
      <c r="B25" s="267"/>
      <c r="C25" s="265" t="s">
        <v>43</v>
      </c>
      <c r="D25" s="267"/>
      <c r="E25" s="672">
        <v>1.4999999999999999E-2</v>
      </c>
      <c r="F25" s="672"/>
      <c r="G25" s="672"/>
      <c r="H25" s="271">
        <f>E25*(E12+H19)</f>
        <v>23.976954389663312</v>
      </c>
      <c r="I25" s="271"/>
      <c r="J25" s="271"/>
      <c r="K25" s="23"/>
      <c r="L25" s="23"/>
    </row>
    <row r="26" spans="1:12" x14ac:dyDescent="0.25">
      <c r="A26" s="265" t="s">
        <v>10</v>
      </c>
      <c r="B26" s="267"/>
      <c r="C26" s="265" t="s">
        <v>44</v>
      </c>
      <c r="D26" s="267"/>
      <c r="E26" s="672">
        <v>0.01</v>
      </c>
      <c r="F26" s="672"/>
      <c r="G26" s="672"/>
      <c r="H26" s="271">
        <f>E26*(E12+H19)</f>
        <v>15.984636259775543</v>
      </c>
      <c r="I26" s="271"/>
      <c r="J26" s="271"/>
      <c r="K26" s="23"/>
      <c r="L26" s="23"/>
    </row>
    <row r="27" spans="1:12" x14ac:dyDescent="0.25">
      <c r="A27" s="265" t="s">
        <v>11</v>
      </c>
      <c r="B27" s="267"/>
      <c r="C27" s="265" t="s">
        <v>6</v>
      </c>
      <c r="D27" s="267"/>
      <c r="E27" s="672">
        <v>6.0000000000000001E-3</v>
      </c>
      <c r="F27" s="672"/>
      <c r="G27" s="672"/>
      <c r="H27" s="271">
        <f>E27*(E12+H19)</f>
        <v>9.5907817558653257</v>
      </c>
      <c r="I27" s="271"/>
      <c r="J27" s="271"/>
      <c r="K27" s="23"/>
      <c r="L27" s="23"/>
    </row>
    <row r="28" spans="1:12" x14ac:dyDescent="0.25">
      <c r="A28" s="265" t="s">
        <v>39</v>
      </c>
      <c r="B28" s="267"/>
      <c r="C28" s="265" t="s">
        <v>5</v>
      </c>
      <c r="D28" s="267"/>
      <c r="E28" s="672">
        <v>2E-3</v>
      </c>
      <c r="F28" s="672"/>
      <c r="G28" s="672"/>
      <c r="H28" s="271">
        <f>E28*(E12+H19)</f>
        <v>3.1969272519551089</v>
      </c>
      <c r="I28" s="271"/>
      <c r="J28" s="271"/>
      <c r="K28" s="23"/>
      <c r="L28" s="23"/>
    </row>
    <row r="29" spans="1:12" x14ac:dyDescent="0.25">
      <c r="A29" s="679" t="s">
        <v>40</v>
      </c>
      <c r="B29" s="680"/>
      <c r="C29" s="265" t="s">
        <v>4</v>
      </c>
      <c r="D29" s="266"/>
      <c r="E29" s="681">
        <v>0.08</v>
      </c>
      <c r="F29" s="682"/>
      <c r="G29" s="683"/>
      <c r="H29" s="271">
        <f>E29*(E12+H19)</f>
        <v>127.87709007820435</v>
      </c>
      <c r="I29" s="271"/>
      <c r="J29" s="271"/>
      <c r="K29" s="23"/>
      <c r="L29" s="23"/>
    </row>
    <row r="30" spans="1:12" ht="15.75" thickBot="1" x14ac:dyDescent="0.3">
      <c r="A30" s="656" t="s">
        <v>36</v>
      </c>
      <c r="B30" s="656"/>
      <c r="C30" s="656"/>
      <c r="D30" s="656"/>
      <c r="E30" s="657">
        <f>SUM(E22:G29)</f>
        <v>0.36800000000000005</v>
      </c>
      <c r="F30" s="658"/>
      <c r="G30" s="659"/>
      <c r="H30" s="660">
        <f>SUM(H22:J29)</f>
        <v>588.23461435974002</v>
      </c>
      <c r="I30" s="660"/>
      <c r="J30" s="660"/>
      <c r="K30" s="23"/>
      <c r="L30" s="23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23"/>
    </row>
    <row r="32" spans="1:12" x14ac:dyDescent="0.25">
      <c r="A32" s="265" t="s">
        <v>2</v>
      </c>
      <c r="B32" s="267"/>
      <c r="C32" s="676" t="s">
        <v>46</v>
      </c>
      <c r="D32" s="677"/>
      <c r="E32" s="678"/>
      <c r="F32" s="678"/>
      <c r="G32" s="678"/>
      <c r="H32" s="271">
        <f>(3.9*2*16)-6%*E6</f>
        <v>56.566199999999995</v>
      </c>
      <c r="I32" s="271"/>
      <c r="J32" s="271"/>
      <c r="K32" s="23"/>
      <c r="L32" s="23"/>
    </row>
    <row r="33" spans="1:12" x14ac:dyDescent="0.25">
      <c r="A33" s="265" t="s">
        <v>7</v>
      </c>
      <c r="B33" s="267"/>
      <c r="C33" s="265" t="s">
        <v>47</v>
      </c>
      <c r="D33" s="267"/>
      <c r="E33" s="672"/>
      <c r="F33" s="672"/>
      <c r="G33" s="672"/>
      <c r="H33" s="271">
        <f>(21.63*16)-20%</f>
        <v>345.88</v>
      </c>
      <c r="I33" s="271"/>
      <c r="J33" s="271"/>
      <c r="K33" s="23"/>
      <c r="L33" s="23"/>
    </row>
    <row r="34" spans="1:12" x14ac:dyDescent="0.25">
      <c r="A34" s="265" t="s">
        <v>8</v>
      </c>
      <c r="B34" s="267"/>
      <c r="C34" s="284" t="s">
        <v>49</v>
      </c>
      <c r="D34" s="286"/>
      <c r="E34" s="672"/>
      <c r="F34" s="672"/>
      <c r="G34" s="672"/>
      <c r="H34" s="271">
        <v>36.57</v>
      </c>
      <c r="I34" s="271"/>
      <c r="J34" s="271"/>
      <c r="K34" s="23"/>
      <c r="L34" s="23"/>
    </row>
    <row r="35" spans="1:12" x14ac:dyDescent="0.25">
      <c r="A35" s="265" t="s">
        <v>9</v>
      </c>
      <c r="B35" s="267"/>
      <c r="C35" s="342" t="s">
        <v>28</v>
      </c>
      <c r="D35" s="343"/>
      <c r="E35" s="672"/>
      <c r="F35" s="672"/>
      <c r="G35" s="672"/>
      <c r="H35" s="271">
        <v>25.95</v>
      </c>
      <c r="I35" s="271"/>
      <c r="J35" s="271"/>
      <c r="K35" s="23"/>
      <c r="L35" s="23"/>
    </row>
    <row r="36" spans="1:12" ht="15.75" thickBot="1" x14ac:dyDescent="0.3">
      <c r="A36" s="673" t="s">
        <v>38</v>
      </c>
      <c r="B36" s="674"/>
      <c r="C36" s="674"/>
      <c r="D36" s="674"/>
      <c r="E36" s="674"/>
      <c r="F36" s="674"/>
      <c r="G36" s="675"/>
      <c r="H36" s="655">
        <f>SUM(H32:J35)</f>
        <v>464.96619999999996</v>
      </c>
      <c r="I36" s="655"/>
      <c r="J36" s="655"/>
      <c r="K36" s="23"/>
      <c r="L36" s="23"/>
    </row>
    <row r="37" spans="1:12" ht="15.75" thickBot="1" x14ac:dyDescent="0.3">
      <c r="A37" s="645" t="s">
        <v>72</v>
      </c>
      <c r="B37" s="646"/>
      <c r="C37" s="646"/>
      <c r="D37" s="647"/>
      <c r="E37" s="648">
        <f>H19+H30+H36</f>
        <v>1324.3675658230086</v>
      </c>
      <c r="F37" s="649"/>
      <c r="G37" s="649"/>
      <c r="H37" s="649"/>
      <c r="I37" s="649"/>
      <c r="J37" s="650"/>
      <c r="K37" s="23"/>
      <c r="L37" s="23"/>
    </row>
    <row r="38" spans="1:12" ht="10.5" customHeight="1" thickBot="1" x14ac:dyDescent="0.3">
      <c r="A38" s="669"/>
      <c r="B38" s="670"/>
      <c r="C38" s="670"/>
      <c r="D38" s="670"/>
      <c r="E38" s="670"/>
      <c r="F38" s="670"/>
      <c r="G38" s="670"/>
      <c r="H38" s="670"/>
      <c r="I38" s="670"/>
      <c r="J38" s="671"/>
      <c r="K38" s="23"/>
      <c r="L38" s="23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23"/>
    </row>
    <row r="40" spans="1:12" x14ac:dyDescent="0.25">
      <c r="A40" s="314" t="s">
        <v>2</v>
      </c>
      <c r="B40" s="315"/>
      <c r="C40" s="314" t="s">
        <v>51</v>
      </c>
      <c r="D40" s="315"/>
      <c r="E40" s="49"/>
      <c r="F40" s="51"/>
      <c r="G40" s="50"/>
      <c r="H40" s="316">
        <f>E12/12*5%</f>
        <v>5.5304036438095245</v>
      </c>
      <c r="I40" s="317"/>
      <c r="J40" s="315"/>
      <c r="K40" s="23"/>
      <c r="L40" s="23"/>
    </row>
    <row r="41" spans="1:12" x14ac:dyDescent="0.25">
      <c r="A41" s="314" t="s">
        <v>7</v>
      </c>
      <c r="B41" s="315"/>
      <c r="C41" s="314" t="s">
        <v>52</v>
      </c>
      <c r="D41" s="315"/>
      <c r="E41" s="49"/>
      <c r="F41" s="51"/>
      <c r="G41" s="50"/>
      <c r="H41" s="316">
        <f>H40*8%</f>
        <v>0.44243229150476199</v>
      </c>
      <c r="I41" s="317"/>
      <c r="J41" s="315"/>
      <c r="K41" s="23"/>
      <c r="L41" s="23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271">
        <f>E42*E12</f>
        <v>0</v>
      </c>
      <c r="I42" s="271"/>
      <c r="J42" s="271"/>
      <c r="K42" s="23"/>
      <c r="L42" s="23"/>
    </row>
    <row r="43" spans="1:12" x14ac:dyDescent="0.25">
      <c r="A43" s="232" t="s">
        <v>9</v>
      </c>
      <c r="B43" s="232"/>
      <c r="C43" s="265" t="s">
        <v>54</v>
      </c>
      <c r="D43" s="267"/>
      <c r="E43" s="341"/>
      <c r="F43" s="341"/>
      <c r="G43" s="341"/>
      <c r="H43" s="271">
        <f>E12/30/12*7*100%</f>
        <v>25.808550337777778</v>
      </c>
      <c r="I43" s="271"/>
      <c r="J43" s="271"/>
      <c r="K43" s="23"/>
      <c r="L43" s="23"/>
    </row>
    <row r="44" spans="1:12" ht="30.75" customHeight="1" x14ac:dyDescent="0.25">
      <c r="A44" s="232" t="s">
        <v>10</v>
      </c>
      <c r="B44" s="232"/>
      <c r="C44" s="342" t="s">
        <v>83</v>
      </c>
      <c r="D44" s="343"/>
      <c r="E44" s="341"/>
      <c r="F44" s="341"/>
      <c r="G44" s="341"/>
      <c r="H44" s="271">
        <f>H43*39.8%</f>
        <v>10.271803034435555</v>
      </c>
      <c r="I44" s="271"/>
      <c r="J44" s="271"/>
      <c r="K44" s="23"/>
      <c r="L44" s="23"/>
    </row>
    <row r="45" spans="1:12" ht="30.75" customHeight="1" thickBot="1" x14ac:dyDescent="0.3">
      <c r="A45" s="634" t="s">
        <v>11</v>
      </c>
      <c r="B45" s="635"/>
      <c r="C45" s="755" t="s">
        <v>53</v>
      </c>
      <c r="D45" s="756"/>
      <c r="E45" s="663"/>
      <c r="F45" s="664"/>
      <c r="G45" s="665"/>
      <c r="H45" s="666">
        <f>E12*5%</f>
        <v>66.364843725714294</v>
      </c>
      <c r="I45" s="667"/>
      <c r="J45" s="668"/>
      <c r="K45" s="23"/>
      <c r="L45" s="23"/>
    </row>
    <row r="46" spans="1:12" ht="15.75" thickBot="1" x14ac:dyDescent="0.3">
      <c r="A46" s="638" t="s">
        <v>333</v>
      </c>
      <c r="B46" s="639"/>
      <c r="C46" s="639"/>
      <c r="D46" s="639"/>
      <c r="E46" s="639"/>
      <c r="F46" s="639"/>
      <c r="G46" s="640"/>
      <c r="H46" s="641">
        <f>SUM(H40:J45)</f>
        <v>108.41803303324191</v>
      </c>
      <c r="I46" s="642"/>
      <c r="J46" s="643"/>
      <c r="K46" s="23"/>
      <c r="L46" s="23"/>
    </row>
    <row r="47" spans="1:12" ht="9" customHeight="1" thickBot="1" x14ac:dyDescent="0.3">
      <c r="E47" s="17"/>
      <c r="F47" s="17"/>
      <c r="G47" s="17"/>
      <c r="H47" s="18"/>
      <c r="I47" s="18"/>
      <c r="J47" s="18"/>
      <c r="K47" s="23"/>
      <c r="L47" s="23"/>
    </row>
    <row r="48" spans="1:12" ht="30" customHeight="1" thickBot="1" x14ac:dyDescent="0.3">
      <c r="A48" s="494" t="s">
        <v>128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23"/>
    </row>
    <row r="49" spans="1:12" x14ac:dyDescent="0.25">
      <c r="A49" s="314" t="s">
        <v>2</v>
      </c>
      <c r="B49" s="315"/>
      <c r="C49" s="314" t="s">
        <v>56</v>
      </c>
      <c r="D49" s="315"/>
      <c r="E49" s="49"/>
      <c r="F49" s="51"/>
      <c r="G49" s="50"/>
      <c r="H49" s="316">
        <f>E20/12*5%</f>
        <v>3.2583333333333336E-4</v>
      </c>
      <c r="I49" s="317"/>
      <c r="J49" s="315"/>
      <c r="K49" s="23"/>
      <c r="L49" s="23"/>
    </row>
    <row r="50" spans="1:12" x14ac:dyDescent="0.25">
      <c r="A50" s="314" t="s">
        <v>7</v>
      </c>
      <c r="B50" s="315"/>
      <c r="C50" s="314" t="s">
        <v>57</v>
      </c>
      <c r="D50" s="315"/>
      <c r="E50" s="49"/>
      <c r="F50" s="51"/>
      <c r="G50" s="50"/>
      <c r="H50" s="316">
        <f>E12/30/12</f>
        <v>3.6869357625396826</v>
      </c>
      <c r="I50" s="317"/>
      <c r="J50" s="315"/>
      <c r="K50" s="23"/>
      <c r="L50" s="23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271">
        <f>E12/30/12*5*1.5%</f>
        <v>0.27652018219047614</v>
      </c>
      <c r="I51" s="271"/>
      <c r="J51" s="271"/>
      <c r="K51" s="23"/>
      <c r="L51" s="23"/>
    </row>
    <row r="52" spans="1:12" ht="29.25" customHeight="1" x14ac:dyDescent="0.25">
      <c r="A52" s="232" t="s">
        <v>9</v>
      </c>
      <c r="B52" s="232"/>
      <c r="C52" s="661" t="s">
        <v>59</v>
      </c>
      <c r="D52" s="662"/>
      <c r="E52" s="341"/>
      <c r="F52" s="341"/>
      <c r="G52" s="341"/>
      <c r="H52" s="271">
        <f>E12/30/12*15*8%</f>
        <v>4.4243229150476191</v>
      </c>
      <c r="I52" s="271"/>
      <c r="J52" s="271"/>
      <c r="K52" s="23"/>
      <c r="L52" s="23"/>
    </row>
    <row r="53" spans="1:12" x14ac:dyDescent="0.25">
      <c r="A53" s="232" t="s">
        <v>10</v>
      </c>
      <c r="B53" s="232"/>
      <c r="C53" s="342" t="s">
        <v>60</v>
      </c>
      <c r="D53" s="343"/>
      <c r="E53" s="341"/>
      <c r="F53" s="341"/>
      <c r="G53" s="341"/>
      <c r="H53" s="271">
        <f>E20*5%</f>
        <v>3.9100000000000003E-3</v>
      </c>
      <c r="I53" s="271"/>
      <c r="J53" s="271"/>
      <c r="K53" s="23"/>
      <c r="L53" s="23"/>
    </row>
    <row r="54" spans="1:12" x14ac:dyDescent="0.25">
      <c r="A54" s="232" t="s">
        <v>11</v>
      </c>
      <c r="B54" s="232"/>
      <c r="C54" s="342" t="s">
        <v>61</v>
      </c>
      <c r="D54" s="343"/>
      <c r="E54" s="341"/>
      <c r="F54" s="341"/>
      <c r="G54" s="341"/>
      <c r="H54" s="271">
        <f>E12/30/12*5*40%</f>
        <v>7.3738715250793652</v>
      </c>
      <c r="I54" s="271"/>
      <c r="J54" s="271"/>
      <c r="K54" s="23"/>
      <c r="L54" s="23"/>
    </row>
    <row r="55" spans="1:12" ht="30" customHeight="1" x14ac:dyDescent="0.25">
      <c r="A55" s="232" t="s">
        <v>39</v>
      </c>
      <c r="B55" s="232"/>
      <c r="C55" s="342" t="s">
        <v>62</v>
      </c>
      <c r="D55" s="343"/>
      <c r="E55" s="341"/>
      <c r="F55" s="341"/>
      <c r="G55" s="341"/>
      <c r="H55" s="271">
        <f>SUM(H49:J54)*39.8%</f>
        <v>6.2748227148398081</v>
      </c>
      <c r="I55" s="271"/>
      <c r="J55" s="271"/>
      <c r="K55" s="23"/>
      <c r="L55" s="23"/>
    </row>
    <row r="56" spans="1:12" ht="15.75" thickBot="1" x14ac:dyDescent="0.3">
      <c r="A56" s="656" t="s">
        <v>36</v>
      </c>
      <c r="B56" s="656"/>
      <c r="C56" s="656"/>
      <c r="D56" s="656"/>
      <c r="E56" s="657"/>
      <c r="F56" s="658"/>
      <c r="G56" s="659"/>
      <c r="H56" s="660">
        <f>SUM(H49:J55)</f>
        <v>22.040708933030281</v>
      </c>
      <c r="I56" s="660"/>
      <c r="J56" s="660"/>
      <c r="K56" s="23"/>
      <c r="L56" s="23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23"/>
    </row>
    <row r="58" spans="1:12" ht="32.25" customHeight="1" x14ac:dyDescent="0.25">
      <c r="A58" s="314" t="s">
        <v>2</v>
      </c>
      <c r="B58" s="315"/>
      <c r="C58" s="344" t="s">
        <v>64</v>
      </c>
      <c r="D58" s="345"/>
      <c r="E58" s="49"/>
      <c r="F58" s="51"/>
      <c r="G58" s="50"/>
      <c r="H58" s="316">
        <f>((((E12+(E12/3))*0.3333)/12)*2%)</f>
        <v>0.983084551723581</v>
      </c>
      <c r="I58" s="317"/>
      <c r="J58" s="315"/>
      <c r="K58" s="23"/>
      <c r="L58" s="23"/>
    </row>
    <row r="59" spans="1:12" ht="31.5" customHeight="1" x14ac:dyDescent="0.25">
      <c r="A59" s="314" t="s">
        <v>7</v>
      </c>
      <c r="B59" s="315"/>
      <c r="C59" s="344" t="s">
        <v>65</v>
      </c>
      <c r="D59" s="345"/>
      <c r="E59" s="49"/>
      <c r="F59" s="51"/>
      <c r="G59" s="50"/>
      <c r="H59" s="316">
        <f>H58*39.8%</f>
        <v>0.3912676515859852</v>
      </c>
      <c r="I59" s="317"/>
      <c r="J59" s="315"/>
      <c r="K59" s="23"/>
      <c r="L59" s="23"/>
    </row>
    <row r="60" spans="1:12" ht="45" customHeight="1" x14ac:dyDescent="0.25">
      <c r="A60" s="318" t="s">
        <v>8</v>
      </c>
      <c r="B60" s="319"/>
      <c r="C60" s="344" t="s">
        <v>66</v>
      </c>
      <c r="D60" s="345"/>
      <c r="E60" s="322"/>
      <c r="F60" s="323"/>
      <c r="G60" s="324"/>
      <c r="H60" s="271">
        <f>(((E12+H17)*0.333)*2%)*39.8%</f>
        <v>3.8113086113063424</v>
      </c>
      <c r="I60" s="271"/>
      <c r="J60" s="271"/>
      <c r="K60" s="23"/>
      <c r="L60" s="23"/>
    </row>
    <row r="61" spans="1:12" x14ac:dyDescent="0.25">
      <c r="A61" s="232" t="s">
        <v>9</v>
      </c>
      <c r="B61" s="232"/>
      <c r="C61" s="265" t="s">
        <v>67</v>
      </c>
      <c r="D61" s="267"/>
      <c r="E61" s="341"/>
      <c r="F61" s="341"/>
      <c r="G61" s="341"/>
      <c r="H61" s="271"/>
      <c r="I61" s="271"/>
      <c r="J61" s="271"/>
      <c r="K61" s="23"/>
      <c r="L61" s="23"/>
    </row>
    <row r="62" spans="1:12" ht="15.75" thickBot="1" x14ac:dyDescent="0.3">
      <c r="A62" s="656" t="s">
        <v>36</v>
      </c>
      <c r="B62" s="656"/>
      <c r="C62" s="656"/>
      <c r="D62" s="656"/>
      <c r="E62" s="657"/>
      <c r="F62" s="658"/>
      <c r="G62" s="659"/>
      <c r="H62" s="660">
        <f>SUM(H58:J61)</f>
        <v>5.1856608146159084</v>
      </c>
      <c r="I62" s="660"/>
      <c r="J62" s="660"/>
      <c r="K62" s="23"/>
      <c r="L62" s="23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23"/>
    </row>
    <row r="64" spans="1:12" ht="33" customHeight="1" x14ac:dyDescent="0.25">
      <c r="A64" s="314" t="s">
        <v>2</v>
      </c>
      <c r="B64" s="315"/>
      <c r="C64" s="344" t="s">
        <v>69</v>
      </c>
      <c r="D64" s="345"/>
      <c r="E64" s="49"/>
      <c r="F64" s="51"/>
      <c r="G64" s="50"/>
      <c r="H64" s="316">
        <f>((((E18+(E18/3))*0.3333)/12)*2%)</f>
        <v>8.9620666666666654E-5</v>
      </c>
      <c r="I64" s="317"/>
      <c r="J64" s="315"/>
      <c r="K64" s="23"/>
      <c r="L64" s="23"/>
    </row>
    <row r="65" spans="1:12" ht="29.25" customHeight="1" x14ac:dyDescent="0.25">
      <c r="A65" s="314" t="s">
        <v>7</v>
      </c>
      <c r="B65" s="315"/>
      <c r="C65" s="344" t="s">
        <v>70</v>
      </c>
      <c r="D65" s="345"/>
      <c r="E65" s="49"/>
      <c r="F65" s="51"/>
      <c r="G65" s="50"/>
      <c r="H65" s="316">
        <f>H64*39.8%</f>
        <v>3.5669025333333325E-5</v>
      </c>
      <c r="I65" s="317"/>
      <c r="J65" s="315"/>
      <c r="K65" s="23"/>
      <c r="L65" s="23"/>
    </row>
    <row r="66" spans="1:12" ht="15.75" thickBot="1" x14ac:dyDescent="0.3">
      <c r="A66" s="651" t="s">
        <v>36</v>
      </c>
      <c r="B66" s="651"/>
      <c r="C66" s="651"/>
      <c r="D66" s="651"/>
      <c r="E66" s="652"/>
      <c r="F66" s="653"/>
      <c r="G66" s="654"/>
      <c r="H66" s="655">
        <f>SUM(H64:J65)</f>
        <v>1.2528969199999997E-4</v>
      </c>
      <c r="I66" s="655"/>
      <c r="J66" s="655"/>
      <c r="K66" s="23"/>
      <c r="L66" s="23"/>
    </row>
    <row r="67" spans="1:12" ht="15.75" thickBot="1" x14ac:dyDescent="0.3">
      <c r="A67" s="645" t="s">
        <v>71</v>
      </c>
      <c r="B67" s="646"/>
      <c r="C67" s="646"/>
      <c r="D67" s="647"/>
      <c r="E67" s="648">
        <f>H66+H62+H56</f>
        <v>27.226495037338189</v>
      </c>
      <c r="F67" s="649"/>
      <c r="G67" s="649"/>
      <c r="H67" s="649"/>
      <c r="I67" s="649"/>
      <c r="J67" s="650"/>
      <c r="K67" s="23"/>
      <c r="L67" s="23"/>
    </row>
    <row r="68" spans="1:12" ht="10.5" customHeight="1" thickBo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  <c r="L68" s="23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23"/>
    </row>
    <row r="70" spans="1:12" x14ac:dyDescent="0.25">
      <c r="A70" s="314" t="s">
        <v>2</v>
      </c>
      <c r="B70" s="315"/>
      <c r="C70" s="314" t="s">
        <v>74</v>
      </c>
      <c r="D70" s="315"/>
      <c r="E70" s="314"/>
      <c r="F70" s="317"/>
      <c r="G70" s="315"/>
      <c r="H70" s="316">
        <v>300</v>
      </c>
      <c r="I70" s="317"/>
      <c r="J70" s="315"/>
      <c r="K70" s="23"/>
      <c r="L70" s="23"/>
    </row>
    <row r="71" spans="1:12" x14ac:dyDescent="0.25">
      <c r="A71" s="314" t="s">
        <v>7</v>
      </c>
      <c r="B71" s="315"/>
      <c r="C71" s="314" t="s">
        <v>75</v>
      </c>
      <c r="D71" s="315"/>
      <c r="E71" s="49"/>
      <c r="F71" s="51"/>
      <c r="G71" s="50"/>
      <c r="H71" s="316">
        <v>5</v>
      </c>
      <c r="I71" s="317"/>
      <c r="J71" s="315"/>
      <c r="K71" s="23"/>
      <c r="L71" s="23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271">
        <v>43.5</v>
      </c>
      <c r="I72" s="271"/>
      <c r="J72" s="271"/>
      <c r="K72" s="23"/>
      <c r="L72" s="23"/>
    </row>
    <row r="73" spans="1:12" ht="15.75" thickBot="1" x14ac:dyDescent="0.3">
      <c r="A73" s="633" t="s">
        <v>9</v>
      </c>
      <c r="B73" s="633"/>
      <c r="C73" s="634" t="s">
        <v>28</v>
      </c>
      <c r="D73" s="635"/>
      <c r="E73" s="636"/>
      <c r="F73" s="636"/>
      <c r="G73" s="636"/>
      <c r="H73" s="637">
        <v>5</v>
      </c>
      <c r="I73" s="637"/>
      <c r="J73" s="637"/>
      <c r="K73" s="23"/>
      <c r="L73" s="23"/>
    </row>
    <row r="74" spans="1:12" ht="15.75" thickBot="1" x14ac:dyDescent="0.3">
      <c r="A74" s="638" t="s">
        <v>336</v>
      </c>
      <c r="B74" s="639"/>
      <c r="C74" s="639"/>
      <c r="D74" s="639"/>
      <c r="E74" s="639"/>
      <c r="F74" s="639"/>
      <c r="G74" s="640"/>
      <c r="H74" s="641">
        <f>SUM(H70:J73)</f>
        <v>353.5</v>
      </c>
      <c r="I74" s="642"/>
      <c r="J74" s="643"/>
      <c r="K74" s="23"/>
      <c r="L74" s="23"/>
    </row>
    <row r="75" spans="1:12" ht="9" customHeight="1" thickBot="1" x14ac:dyDescent="0.3">
      <c r="E75" s="17"/>
      <c r="F75" s="17"/>
      <c r="G75" s="17"/>
      <c r="H75" s="18"/>
      <c r="I75" s="18"/>
      <c r="J75" s="18"/>
      <c r="K75" s="23"/>
      <c r="L75" s="23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23"/>
    </row>
    <row r="77" spans="1:12" x14ac:dyDescent="0.25">
      <c r="A77" s="314" t="s">
        <v>2</v>
      </c>
      <c r="B77" s="315"/>
      <c r="C77" s="314" t="s">
        <v>77</v>
      </c>
      <c r="D77" s="315"/>
      <c r="E77" s="644">
        <v>7.0000000000000007E-2</v>
      </c>
      <c r="F77" s="317"/>
      <c r="G77" s="315"/>
      <c r="H77" s="316">
        <f>(H74+E67+H46+E37+E12)*E77</f>
        <v>219.85662778855121</v>
      </c>
      <c r="I77" s="317"/>
      <c r="J77" s="315"/>
      <c r="K77" s="23"/>
      <c r="L77" s="23"/>
    </row>
    <row r="78" spans="1:12" x14ac:dyDescent="0.25">
      <c r="A78" s="314" t="s">
        <v>7</v>
      </c>
      <c r="B78" s="315"/>
      <c r="C78" s="314" t="s">
        <v>12</v>
      </c>
      <c r="D78" s="315"/>
      <c r="E78" s="644">
        <v>7.5774185115783349E-2</v>
      </c>
      <c r="F78" s="317"/>
      <c r="G78" s="315"/>
      <c r="H78" s="316">
        <f>E78*(H74+E67+H46+E37+E12)</f>
        <v>237.99224018545078</v>
      </c>
      <c r="I78" s="317"/>
      <c r="J78" s="315"/>
      <c r="K78" s="23"/>
      <c r="L78" s="23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271">
        <f>(H74+E67+H46+E37+E12)/E79</f>
        <v>3662.7509835660339</v>
      </c>
      <c r="I79" s="271"/>
      <c r="J79" s="271"/>
      <c r="K79" s="23"/>
      <c r="L79" s="23"/>
    </row>
    <row r="80" spans="1:12" x14ac:dyDescent="0.25">
      <c r="A80" s="232" t="s">
        <v>9</v>
      </c>
      <c r="B80" s="232"/>
      <c r="C80" s="265" t="s">
        <v>79</v>
      </c>
      <c r="D80" s="267"/>
      <c r="E80" s="341">
        <v>1.6500000000000001E-2</v>
      </c>
      <c r="F80" s="341"/>
      <c r="G80" s="341"/>
      <c r="H80" s="271">
        <f>E80*H87</f>
        <v>54.550980000000003</v>
      </c>
      <c r="I80" s="271"/>
      <c r="J80" s="271"/>
      <c r="K80" s="23"/>
      <c r="L80" s="23"/>
    </row>
    <row r="81" spans="1:12" x14ac:dyDescent="0.25">
      <c r="A81" s="232" t="s">
        <v>9</v>
      </c>
      <c r="B81" s="232"/>
      <c r="C81" s="265" t="s">
        <v>80</v>
      </c>
      <c r="D81" s="267"/>
      <c r="E81" s="341">
        <v>7.5999999999999998E-2</v>
      </c>
      <c r="F81" s="341"/>
      <c r="G81" s="341"/>
      <c r="H81" s="271">
        <f>E81*H87</f>
        <v>251.26512</v>
      </c>
      <c r="I81" s="271"/>
      <c r="J81" s="271"/>
      <c r="K81" s="23"/>
      <c r="L81" s="23"/>
    </row>
    <row r="82" spans="1:12" x14ac:dyDescent="0.25">
      <c r="A82" s="232" t="s">
        <v>10</v>
      </c>
      <c r="B82" s="232"/>
      <c r="C82" s="265" t="s">
        <v>81</v>
      </c>
      <c r="D82" s="267"/>
      <c r="E82" s="341"/>
      <c r="F82" s="341"/>
      <c r="G82" s="341"/>
      <c r="H82" s="271"/>
      <c r="I82" s="271"/>
      <c r="J82" s="271"/>
      <c r="K82" s="23"/>
      <c r="L82" s="23"/>
    </row>
    <row r="83" spans="1:12" ht="15.75" thickBot="1" x14ac:dyDescent="0.3">
      <c r="A83" s="633" t="s">
        <v>11</v>
      </c>
      <c r="B83" s="633"/>
      <c r="C83" s="634" t="s">
        <v>82</v>
      </c>
      <c r="D83" s="635"/>
      <c r="E83" s="636">
        <v>0.05</v>
      </c>
      <c r="F83" s="636"/>
      <c r="G83" s="636"/>
      <c r="H83" s="637">
        <f>E83*H87</f>
        <v>165.30600000000001</v>
      </c>
      <c r="I83" s="637"/>
      <c r="J83" s="637"/>
      <c r="K83" s="23"/>
      <c r="L83" s="23"/>
    </row>
    <row r="84" spans="1:12" ht="15.75" customHeight="1" thickBot="1" x14ac:dyDescent="0.3">
      <c r="A84" s="638" t="s">
        <v>340</v>
      </c>
      <c r="B84" s="639"/>
      <c r="C84" s="639"/>
      <c r="D84" s="639"/>
      <c r="E84" s="639"/>
      <c r="F84" s="639"/>
      <c r="G84" s="639"/>
      <c r="H84" s="641">
        <f>H77+H78+H80+H81+H83</f>
        <v>928.97096797400206</v>
      </c>
      <c r="I84" s="642"/>
      <c r="J84" s="643"/>
      <c r="K84" s="23"/>
      <c r="L84" s="23"/>
    </row>
    <row r="85" spans="1:12" ht="10.5" customHeight="1" thickBot="1" x14ac:dyDescent="0.3">
      <c r="E85" s="17"/>
      <c r="F85" s="17"/>
      <c r="G85" s="17"/>
      <c r="H85" s="18"/>
      <c r="I85" s="18"/>
      <c r="J85" s="18"/>
      <c r="K85" s="23"/>
      <c r="L85" s="23"/>
    </row>
    <row r="86" spans="1:12" ht="15.75" thickBot="1" x14ac:dyDescent="0.3">
      <c r="A86" s="627" t="s">
        <v>85</v>
      </c>
      <c r="B86" s="628"/>
      <c r="C86" s="628"/>
      <c r="D86" s="628"/>
      <c r="E86" s="628"/>
      <c r="F86" s="628"/>
      <c r="G86" s="628"/>
      <c r="H86" s="757">
        <f>SUM(H84+H74+E67+H46+E37+E12)</f>
        <v>4069.7799363818767</v>
      </c>
      <c r="I86" s="758"/>
      <c r="J86" s="759"/>
    </row>
    <row r="87" spans="1:12" ht="15.75" thickBot="1" x14ac:dyDescent="0.3">
      <c r="H87" s="126">
        <v>3306.12</v>
      </c>
      <c r="I87" s="126"/>
      <c r="J87" s="126"/>
    </row>
  </sheetData>
  <mergeCells count="230">
    <mergeCell ref="A1:J1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6337778862885"/>
  </sheetPr>
  <dimension ref="A1:L87"/>
  <sheetViews>
    <sheetView topLeftCell="A40" workbookViewId="0">
      <selection activeCell="L80" sqref="L80"/>
    </sheetView>
  </sheetViews>
  <sheetFormatPr defaultRowHeight="15" x14ac:dyDescent="0.25"/>
  <cols>
    <col min="1" max="1" width="7.42578125" bestFit="1" customWidth="1"/>
    <col min="2" max="2" width="2" bestFit="1" customWidth="1"/>
    <col min="3" max="3" width="6.7109375" customWidth="1"/>
    <col min="4" max="4" width="45.7109375" customWidth="1"/>
    <col min="5" max="5" width="3.7109375" customWidth="1"/>
    <col min="6" max="6" width="2.5703125" customWidth="1"/>
    <col min="7" max="7" width="4" customWidth="1"/>
    <col min="8" max="8" width="5.5703125" customWidth="1"/>
    <col min="9" max="9" width="3.28515625" customWidth="1"/>
    <col min="10" max="10" width="3.140625" customWidth="1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23"/>
    </row>
    <row r="2" spans="1:12" ht="31.5" customHeight="1" thickBot="1" x14ac:dyDescent="0.3">
      <c r="A2" s="554" t="s">
        <v>0</v>
      </c>
      <c r="B2" s="555"/>
      <c r="C2" s="556"/>
      <c r="D2" s="737" t="s">
        <v>355</v>
      </c>
      <c r="E2" s="738"/>
      <c r="F2" s="738"/>
      <c r="G2" s="738"/>
      <c r="H2" s="738"/>
      <c r="I2" s="738"/>
      <c r="J2" s="739"/>
      <c r="K2" s="23"/>
    </row>
    <row r="3" spans="1:12" ht="9" customHeight="1" thickBot="1" x14ac:dyDescent="0.3">
      <c r="A3" s="267"/>
      <c r="B3" s="232"/>
      <c r="C3" s="232"/>
      <c r="D3" s="232"/>
      <c r="E3" s="232"/>
      <c r="F3" s="232"/>
      <c r="G3" s="232"/>
      <c r="H3" s="232"/>
      <c r="I3" s="232"/>
      <c r="J3" s="265"/>
      <c r="K3" s="23"/>
      <c r="L3" s="23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23"/>
    </row>
    <row r="5" spans="1:12" x14ac:dyDescent="0.25">
      <c r="A5" s="232" t="s">
        <v>31</v>
      </c>
      <c r="B5" s="232"/>
      <c r="C5" s="232"/>
      <c r="D5" s="232"/>
      <c r="E5" s="232"/>
      <c r="F5" s="232"/>
      <c r="G5" s="232"/>
      <c r="H5" s="232"/>
      <c r="I5" s="232"/>
      <c r="J5" s="232"/>
      <c r="K5" s="23"/>
      <c r="L5" s="23"/>
    </row>
    <row r="6" spans="1:12" x14ac:dyDescent="0.25">
      <c r="A6" s="121" t="s">
        <v>2</v>
      </c>
      <c r="B6" s="702" t="s">
        <v>1</v>
      </c>
      <c r="C6" s="703"/>
      <c r="D6" s="704"/>
      <c r="E6" s="788">
        <v>1137.23</v>
      </c>
      <c r="F6" s="788"/>
      <c r="G6" s="788"/>
      <c r="H6" s="788"/>
      <c r="I6" s="788"/>
      <c r="J6" s="788"/>
      <c r="K6" s="23"/>
      <c r="L6" s="23"/>
    </row>
    <row r="7" spans="1:12" x14ac:dyDescent="0.25">
      <c r="A7" s="121" t="s">
        <v>7</v>
      </c>
      <c r="B7" s="702" t="s">
        <v>25</v>
      </c>
      <c r="C7" s="703"/>
      <c r="D7" s="704"/>
      <c r="E7" s="790"/>
      <c r="F7" s="791"/>
      <c r="G7" s="791"/>
      <c r="H7" s="791"/>
      <c r="I7" s="791"/>
      <c r="J7" s="792"/>
      <c r="K7" s="23"/>
      <c r="L7" s="23"/>
    </row>
    <row r="8" spans="1:12" x14ac:dyDescent="0.25">
      <c r="A8" s="121" t="s">
        <v>8</v>
      </c>
      <c r="B8" s="702" t="s">
        <v>26</v>
      </c>
      <c r="C8" s="703"/>
      <c r="D8" s="704"/>
      <c r="E8" s="790">
        <f>((((E6+E11)/210)*20%)*9)*16</f>
        <v>184.6258285714286</v>
      </c>
      <c r="F8" s="791"/>
      <c r="G8" s="791"/>
      <c r="H8" s="791"/>
      <c r="I8" s="791"/>
      <c r="J8" s="792"/>
      <c r="K8" s="23"/>
      <c r="L8" s="23"/>
    </row>
    <row r="9" spans="1:12" x14ac:dyDescent="0.25">
      <c r="A9" s="121" t="s">
        <v>9</v>
      </c>
      <c r="B9" s="702" t="s">
        <v>27</v>
      </c>
      <c r="C9" s="703"/>
      <c r="D9" s="704"/>
      <c r="E9" s="790">
        <f>((((E6+E11)/210)*20%)*0.14)*16</f>
        <v>2.8719573333333339</v>
      </c>
      <c r="F9" s="791"/>
      <c r="G9" s="791"/>
      <c r="H9" s="791"/>
      <c r="I9" s="791"/>
      <c r="J9" s="792"/>
      <c r="K9" s="23"/>
      <c r="L9" s="23"/>
    </row>
    <row r="10" spans="1:12" x14ac:dyDescent="0.25">
      <c r="A10" s="121" t="s">
        <v>10</v>
      </c>
      <c r="B10" s="702" t="s">
        <v>28</v>
      </c>
      <c r="C10" s="703"/>
      <c r="D10" s="704"/>
      <c r="E10" s="788">
        <f>(((E8+E9)/25)*5)</f>
        <v>37.499557180952387</v>
      </c>
      <c r="F10" s="788"/>
      <c r="G10" s="788"/>
      <c r="H10" s="788"/>
      <c r="I10" s="788"/>
      <c r="J10" s="788"/>
      <c r="K10" s="23"/>
      <c r="L10" s="23"/>
    </row>
    <row r="11" spans="1:12" ht="15.75" thickBot="1" x14ac:dyDescent="0.3">
      <c r="A11" s="125" t="s">
        <v>11</v>
      </c>
      <c r="B11" s="609" t="s">
        <v>158</v>
      </c>
      <c r="C11" s="610"/>
      <c r="D11" s="611"/>
      <c r="E11" s="789">
        <f>1045*20%</f>
        <v>209</v>
      </c>
      <c r="F11" s="789"/>
      <c r="G11" s="789"/>
      <c r="H11" s="789"/>
      <c r="I11" s="789"/>
      <c r="J11" s="789"/>
      <c r="K11" s="23"/>
      <c r="L11" s="23"/>
    </row>
    <row r="12" spans="1:12" ht="15.75" thickBot="1" x14ac:dyDescent="0.3">
      <c r="A12" s="645" t="s">
        <v>330</v>
      </c>
      <c r="B12" s="646"/>
      <c r="C12" s="646"/>
      <c r="D12" s="745"/>
      <c r="E12" s="641">
        <f>SUM(E6:J11)</f>
        <v>1571.2273430857144</v>
      </c>
      <c r="F12" s="642"/>
      <c r="G12" s="642"/>
      <c r="H12" s="642"/>
      <c r="I12" s="642"/>
      <c r="J12" s="643"/>
      <c r="K12" s="23"/>
      <c r="L12" s="23"/>
    </row>
    <row r="13" spans="1:12" ht="29.25" customHeight="1" x14ac:dyDescent="0.25">
      <c r="A13" s="551" t="s">
        <v>29</v>
      </c>
      <c r="B13" s="715"/>
      <c r="C13" s="715"/>
      <c r="D13" s="716"/>
      <c r="E13" s="548">
        <f>E12*E30</f>
        <v>578.21166225554305</v>
      </c>
      <c r="F13" s="549"/>
      <c r="G13" s="549"/>
      <c r="H13" s="549"/>
      <c r="I13" s="549"/>
      <c r="J13" s="550"/>
      <c r="K13" s="23"/>
      <c r="L13" s="23"/>
    </row>
    <row r="14" spans="1:12" ht="9" customHeight="1" thickBot="1" x14ac:dyDescent="0.3">
      <c r="A14" s="267"/>
      <c r="B14" s="232"/>
      <c r="C14" s="232"/>
      <c r="D14" s="232"/>
      <c r="E14" s="232"/>
      <c r="F14" s="232"/>
      <c r="G14" s="232"/>
      <c r="H14" s="232"/>
      <c r="I14" s="232"/>
      <c r="J14" s="265"/>
      <c r="K14" s="23"/>
      <c r="L14" s="23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23"/>
    </row>
    <row r="16" spans="1:12" ht="30" customHeight="1" thickBot="1" x14ac:dyDescent="0.3">
      <c r="A16" s="507" t="s">
        <v>350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23"/>
    </row>
    <row r="17" spans="1:12" x14ac:dyDescent="0.25">
      <c r="A17" s="121" t="s">
        <v>2</v>
      </c>
      <c r="B17" s="265" t="s">
        <v>34</v>
      </c>
      <c r="C17" s="266"/>
      <c r="D17" s="267"/>
      <c r="E17" s="782">
        <v>8.3299999999999999E-2</v>
      </c>
      <c r="F17" s="783"/>
      <c r="G17" s="784"/>
      <c r="H17" s="271">
        <f>E17*E12</f>
        <v>130.88323767904001</v>
      </c>
      <c r="I17" s="271"/>
      <c r="J17" s="271"/>
      <c r="K17" s="23"/>
      <c r="L17" s="23"/>
    </row>
    <row r="18" spans="1:12" x14ac:dyDescent="0.25">
      <c r="A18" s="121" t="s">
        <v>7</v>
      </c>
      <c r="B18" s="265" t="s">
        <v>35</v>
      </c>
      <c r="C18" s="266"/>
      <c r="D18" s="267"/>
      <c r="E18" s="681">
        <v>0.121</v>
      </c>
      <c r="F18" s="682"/>
      <c r="G18" s="683"/>
      <c r="H18" s="271">
        <f>E18*E12</f>
        <v>190.11850851337144</v>
      </c>
      <c r="I18" s="271"/>
      <c r="J18" s="271"/>
      <c r="K18" s="23"/>
      <c r="L18" s="23"/>
    </row>
    <row r="19" spans="1:12" x14ac:dyDescent="0.25">
      <c r="A19" s="687" t="s">
        <v>36</v>
      </c>
      <c r="B19" s="688"/>
      <c r="C19" s="688"/>
      <c r="D19" s="688"/>
      <c r="E19" s="688"/>
      <c r="F19" s="688"/>
      <c r="G19" s="689"/>
      <c r="H19" s="690">
        <f>SUM(H17:J18)</f>
        <v>321.00174619241147</v>
      </c>
      <c r="I19" s="690"/>
      <c r="J19" s="690"/>
      <c r="K19" s="23"/>
      <c r="L19" s="23"/>
    </row>
    <row r="20" spans="1:12" ht="31.5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122.86997822930287</v>
      </c>
      <c r="I20" s="291"/>
      <c r="J20" s="292"/>
      <c r="K20" s="23"/>
      <c r="L20" s="23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23"/>
    </row>
    <row r="22" spans="1:12" x14ac:dyDescent="0.25">
      <c r="A22" s="265" t="s">
        <v>2</v>
      </c>
      <c r="B22" s="267"/>
      <c r="C22" s="676" t="s">
        <v>3</v>
      </c>
      <c r="D22" s="677"/>
      <c r="E22" s="678">
        <v>0.2</v>
      </c>
      <c r="F22" s="678"/>
      <c r="G22" s="678"/>
      <c r="H22" s="271">
        <f>E22*(E12+H19)</f>
        <v>378.44581785562519</v>
      </c>
      <c r="I22" s="271"/>
      <c r="J22" s="271"/>
      <c r="K22" s="23"/>
      <c r="L22" s="23"/>
    </row>
    <row r="23" spans="1:12" x14ac:dyDescent="0.25">
      <c r="A23" s="265" t="s">
        <v>7</v>
      </c>
      <c r="B23" s="267"/>
      <c r="C23" s="265" t="s">
        <v>41</v>
      </c>
      <c r="D23" s="267"/>
      <c r="E23" s="672">
        <v>2.5000000000000001E-2</v>
      </c>
      <c r="F23" s="672"/>
      <c r="G23" s="672"/>
      <c r="H23" s="271">
        <f>E23*(E12+H19)</f>
        <v>47.305727231953149</v>
      </c>
      <c r="I23" s="271"/>
      <c r="J23" s="271"/>
      <c r="K23" s="23"/>
      <c r="L23" s="23"/>
    </row>
    <row r="24" spans="1:12" x14ac:dyDescent="0.25">
      <c r="A24" s="265" t="s">
        <v>8</v>
      </c>
      <c r="B24" s="267"/>
      <c r="C24" s="684" t="s">
        <v>42</v>
      </c>
      <c r="D24" s="685"/>
      <c r="E24" s="686">
        <v>0.03</v>
      </c>
      <c r="F24" s="686"/>
      <c r="G24" s="686"/>
      <c r="H24" s="271">
        <f>E24*(E12+H19)</f>
        <v>56.766872678343773</v>
      </c>
      <c r="I24" s="271"/>
      <c r="J24" s="271"/>
      <c r="K24" s="23"/>
      <c r="L24" s="23"/>
    </row>
    <row r="25" spans="1:12" x14ac:dyDescent="0.25">
      <c r="A25" s="265" t="s">
        <v>9</v>
      </c>
      <c r="B25" s="267"/>
      <c r="C25" s="265" t="s">
        <v>43</v>
      </c>
      <c r="D25" s="267"/>
      <c r="E25" s="672">
        <v>1.4999999999999999E-2</v>
      </c>
      <c r="F25" s="672"/>
      <c r="G25" s="672"/>
      <c r="H25" s="271">
        <f>E25*(E12+H19)</f>
        <v>28.383436339171887</v>
      </c>
      <c r="I25" s="271"/>
      <c r="J25" s="271"/>
      <c r="K25" s="23"/>
      <c r="L25" s="23"/>
    </row>
    <row r="26" spans="1:12" x14ac:dyDescent="0.25">
      <c r="A26" s="265" t="s">
        <v>10</v>
      </c>
      <c r="B26" s="267"/>
      <c r="C26" s="265" t="s">
        <v>44</v>
      </c>
      <c r="D26" s="267"/>
      <c r="E26" s="672">
        <v>0.01</v>
      </c>
      <c r="F26" s="672"/>
      <c r="G26" s="672"/>
      <c r="H26" s="271">
        <f>E26*(E12+H19)</f>
        <v>18.922290892781259</v>
      </c>
      <c r="I26" s="271"/>
      <c r="J26" s="271"/>
      <c r="K26" s="23"/>
      <c r="L26" s="23"/>
    </row>
    <row r="27" spans="1:12" x14ac:dyDescent="0.25">
      <c r="A27" s="265" t="s">
        <v>11</v>
      </c>
      <c r="B27" s="267"/>
      <c r="C27" s="265" t="s">
        <v>6</v>
      </c>
      <c r="D27" s="267"/>
      <c r="E27" s="672">
        <v>6.0000000000000001E-3</v>
      </c>
      <c r="F27" s="672"/>
      <c r="G27" s="672"/>
      <c r="H27" s="271">
        <f>E27*(E12+H19)</f>
        <v>11.353374535668756</v>
      </c>
      <c r="I27" s="271"/>
      <c r="J27" s="271"/>
      <c r="K27" s="23"/>
      <c r="L27" s="23"/>
    </row>
    <row r="28" spans="1:12" x14ac:dyDescent="0.25">
      <c r="A28" s="265" t="s">
        <v>39</v>
      </c>
      <c r="B28" s="267"/>
      <c r="C28" s="265" t="s">
        <v>5</v>
      </c>
      <c r="D28" s="267"/>
      <c r="E28" s="672">
        <v>2E-3</v>
      </c>
      <c r="F28" s="672"/>
      <c r="G28" s="672"/>
      <c r="H28" s="271">
        <f>E28*(E12+H19)</f>
        <v>3.7844581785562519</v>
      </c>
      <c r="I28" s="271"/>
      <c r="J28" s="271"/>
      <c r="K28" s="23"/>
      <c r="L28" s="23"/>
    </row>
    <row r="29" spans="1:12" x14ac:dyDescent="0.25">
      <c r="A29" s="679" t="s">
        <v>40</v>
      </c>
      <c r="B29" s="680"/>
      <c r="C29" s="265" t="s">
        <v>4</v>
      </c>
      <c r="D29" s="266"/>
      <c r="E29" s="681">
        <v>0.08</v>
      </c>
      <c r="F29" s="682"/>
      <c r="G29" s="683"/>
      <c r="H29" s="271">
        <f>E29*(E12+H19)</f>
        <v>151.37832714225007</v>
      </c>
      <c r="I29" s="271"/>
      <c r="J29" s="271"/>
      <c r="K29" s="23"/>
      <c r="L29" s="23"/>
    </row>
    <row r="30" spans="1:12" ht="15.75" thickBot="1" x14ac:dyDescent="0.3">
      <c r="A30" s="656" t="s">
        <v>36</v>
      </c>
      <c r="B30" s="656"/>
      <c r="C30" s="656"/>
      <c r="D30" s="656"/>
      <c r="E30" s="657">
        <f>SUM(E22:G29)</f>
        <v>0.36800000000000005</v>
      </c>
      <c r="F30" s="658"/>
      <c r="G30" s="659"/>
      <c r="H30" s="660">
        <f>SUM(H22:J29)</f>
        <v>696.34030485435039</v>
      </c>
      <c r="I30" s="660"/>
      <c r="J30" s="660"/>
      <c r="K30" s="23"/>
      <c r="L30" s="23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23"/>
    </row>
    <row r="32" spans="1:12" x14ac:dyDescent="0.25">
      <c r="A32" s="265" t="s">
        <v>2</v>
      </c>
      <c r="B32" s="267"/>
      <c r="C32" s="676" t="s">
        <v>46</v>
      </c>
      <c r="D32" s="677"/>
      <c r="E32" s="678"/>
      <c r="F32" s="678"/>
      <c r="G32" s="678"/>
      <c r="H32" s="271">
        <f>(3.9*2*16)-6%*E6</f>
        <v>56.566199999999995</v>
      </c>
      <c r="I32" s="271"/>
      <c r="J32" s="271"/>
      <c r="K32" s="23"/>
      <c r="L32" s="23"/>
    </row>
    <row r="33" spans="1:12" x14ac:dyDescent="0.25">
      <c r="A33" s="265" t="s">
        <v>7</v>
      </c>
      <c r="B33" s="267"/>
      <c r="C33" s="265" t="s">
        <v>47</v>
      </c>
      <c r="D33" s="267"/>
      <c r="E33" s="672"/>
      <c r="F33" s="672"/>
      <c r="G33" s="672"/>
      <c r="H33" s="271">
        <f>(21.63*16)-20%</f>
        <v>345.88</v>
      </c>
      <c r="I33" s="271"/>
      <c r="J33" s="271"/>
      <c r="K33" s="23"/>
      <c r="L33" s="23"/>
    </row>
    <row r="34" spans="1:12" x14ac:dyDescent="0.25">
      <c r="A34" s="265" t="s">
        <v>8</v>
      </c>
      <c r="B34" s="267"/>
      <c r="C34" s="284" t="s">
        <v>49</v>
      </c>
      <c r="D34" s="286"/>
      <c r="E34" s="672"/>
      <c r="F34" s="672"/>
      <c r="G34" s="672"/>
      <c r="H34" s="271">
        <v>36.57</v>
      </c>
      <c r="I34" s="271"/>
      <c r="J34" s="271"/>
      <c r="K34" s="23"/>
      <c r="L34" s="23"/>
    </row>
    <row r="35" spans="1:12" x14ac:dyDescent="0.25">
      <c r="A35" s="265" t="s">
        <v>9</v>
      </c>
      <c r="B35" s="267"/>
      <c r="C35" s="342" t="s">
        <v>28</v>
      </c>
      <c r="D35" s="343"/>
      <c r="E35" s="672"/>
      <c r="F35" s="672"/>
      <c r="G35" s="672"/>
      <c r="H35" s="271">
        <v>25.95</v>
      </c>
      <c r="I35" s="271"/>
      <c r="J35" s="271"/>
      <c r="K35" s="23"/>
      <c r="L35" s="23"/>
    </row>
    <row r="36" spans="1:12" ht="15.75" thickBot="1" x14ac:dyDescent="0.3">
      <c r="A36" s="673" t="s">
        <v>38</v>
      </c>
      <c r="B36" s="674"/>
      <c r="C36" s="674"/>
      <c r="D36" s="674"/>
      <c r="E36" s="674"/>
      <c r="F36" s="674"/>
      <c r="G36" s="675"/>
      <c r="H36" s="655">
        <f>SUM(H32:J35)</f>
        <v>464.96619999999996</v>
      </c>
      <c r="I36" s="655"/>
      <c r="J36" s="655"/>
      <c r="K36" s="23"/>
      <c r="L36" s="23"/>
    </row>
    <row r="37" spans="1:12" ht="15.75" thickBot="1" x14ac:dyDescent="0.3">
      <c r="A37" s="645" t="s">
        <v>72</v>
      </c>
      <c r="B37" s="646"/>
      <c r="C37" s="646"/>
      <c r="D37" s="745"/>
      <c r="E37" s="648">
        <f>H19+H30+H36</f>
        <v>1482.3082510467618</v>
      </c>
      <c r="F37" s="649"/>
      <c r="G37" s="649"/>
      <c r="H37" s="649"/>
      <c r="I37" s="649"/>
      <c r="J37" s="650"/>
      <c r="K37" s="23"/>
      <c r="L37" s="23"/>
    </row>
    <row r="38" spans="1:12" ht="12" customHeight="1" thickBot="1" x14ac:dyDescent="0.3">
      <c r="A38" s="670"/>
      <c r="B38" s="670"/>
      <c r="C38" s="670"/>
      <c r="D38" s="670"/>
      <c r="E38" s="670"/>
      <c r="F38" s="670"/>
      <c r="G38" s="670"/>
      <c r="H38" s="670"/>
      <c r="I38" s="670"/>
      <c r="J38" s="670"/>
      <c r="K38" s="23"/>
      <c r="L38" s="23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23"/>
    </row>
    <row r="40" spans="1:12" x14ac:dyDescent="0.25">
      <c r="A40" s="314" t="s">
        <v>2</v>
      </c>
      <c r="B40" s="315"/>
      <c r="C40" s="314" t="s">
        <v>51</v>
      </c>
      <c r="D40" s="315"/>
      <c r="E40" s="49"/>
      <c r="F40" s="51"/>
      <c r="G40" s="50"/>
      <c r="H40" s="316">
        <f>E12/12*5%</f>
        <v>6.5467805961904775</v>
      </c>
      <c r="I40" s="317"/>
      <c r="J40" s="315"/>
      <c r="K40" s="23"/>
      <c r="L40" s="23"/>
    </row>
    <row r="41" spans="1:12" x14ac:dyDescent="0.25">
      <c r="A41" s="314" t="s">
        <v>7</v>
      </c>
      <c r="B41" s="315"/>
      <c r="C41" s="314" t="s">
        <v>52</v>
      </c>
      <c r="D41" s="315"/>
      <c r="E41" s="49"/>
      <c r="F41" s="51"/>
      <c r="G41" s="50"/>
      <c r="H41" s="316">
        <f>H40*8%</f>
        <v>0.52374244769523826</v>
      </c>
      <c r="I41" s="317"/>
      <c r="J41" s="315"/>
      <c r="K41" s="23"/>
      <c r="L41" s="23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271">
        <f>E42*E12</f>
        <v>0</v>
      </c>
      <c r="I42" s="271"/>
      <c r="J42" s="271"/>
      <c r="K42" s="23"/>
      <c r="L42" s="23"/>
    </row>
    <row r="43" spans="1:12" x14ac:dyDescent="0.25">
      <c r="A43" s="232" t="s">
        <v>9</v>
      </c>
      <c r="B43" s="232"/>
      <c r="C43" s="265" t="s">
        <v>54</v>
      </c>
      <c r="D43" s="267"/>
      <c r="E43" s="341"/>
      <c r="F43" s="341"/>
      <c r="G43" s="341"/>
      <c r="H43" s="271">
        <f>E12/30/12*7*100%</f>
        <v>30.551642782222224</v>
      </c>
      <c r="I43" s="271"/>
      <c r="J43" s="271"/>
      <c r="K43" s="23"/>
      <c r="L43" s="23"/>
    </row>
    <row r="44" spans="1:12" ht="30.75" customHeight="1" x14ac:dyDescent="0.25">
      <c r="A44" s="232" t="s">
        <v>10</v>
      </c>
      <c r="B44" s="232"/>
      <c r="C44" s="342" t="s">
        <v>83</v>
      </c>
      <c r="D44" s="343"/>
      <c r="E44" s="341"/>
      <c r="F44" s="341"/>
      <c r="G44" s="341"/>
      <c r="H44" s="271">
        <f>H43*39.8%</f>
        <v>12.159553827324444</v>
      </c>
      <c r="I44" s="271"/>
      <c r="J44" s="271"/>
      <c r="K44" s="23"/>
      <c r="L44" s="23"/>
    </row>
    <row r="45" spans="1:12" ht="30.75" customHeight="1" thickBot="1" x14ac:dyDescent="0.3">
      <c r="A45" s="634" t="s">
        <v>11</v>
      </c>
      <c r="B45" s="635"/>
      <c r="C45" s="755" t="s">
        <v>53</v>
      </c>
      <c r="D45" s="756"/>
      <c r="E45" s="663"/>
      <c r="F45" s="664"/>
      <c r="G45" s="665"/>
      <c r="H45" s="666">
        <f>E12*5%</f>
        <v>78.561367154285733</v>
      </c>
      <c r="I45" s="667"/>
      <c r="J45" s="668"/>
      <c r="K45" s="23"/>
      <c r="L45" s="23"/>
    </row>
    <row r="46" spans="1:12" ht="15.75" thickBot="1" x14ac:dyDescent="0.3">
      <c r="A46" s="638" t="s">
        <v>356</v>
      </c>
      <c r="B46" s="639"/>
      <c r="C46" s="639"/>
      <c r="D46" s="639"/>
      <c r="E46" s="639"/>
      <c r="F46" s="639"/>
      <c r="G46" s="640"/>
      <c r="H46" s="641">
        <f>SUM(H40:J45)</f>
        <v>128.34308680771812</v>
      </c>
      <c r="I46" s="642"/>
      <c r="J46" s="643"/>
      <c r="K46" s="23"/>
      <c r="L46" s="23"/>
    </row>
    <row r="47" spans="1:12" ht="9" customHeight="1" thickBot="1" x14ac:dyDescent="0.3">
      <c r="E47" s="17"/>
      <c r="F47" s="17"/>
      <c r="G47" s="17"/>
      <c r="H47" s="18"/>
      <c r="I47" s="18"/>
      <c r="J47" s="18"/>
      <c r="K47" s="23"/>
      <c r="L47" s="23"/>
    </row>
    <row r="48" spans="1:12" ht="30.75" customHeight="1" thickBot="1" x14ac:dyDescent="0.3">
      <c r="A48" s="494" t="s">
        <v>358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23"/>
    </row>
    <row r="49" spans="1:12" x14ac:dyDescent="0.25">
      <c r="A49" s="314" t="s">
        <v>2</v>
      </c>
      <c r="B49" s="315"/>
      <c r="C49" s="314" t="s">
        <v>56</v>
      </c>
      <c r="D49" s="315"/>
      <c r="E49" s="49"/>
      <c r="F49" s="51"/>
      <c r="G49" s="50"/>
      <c r="H49" s="316">
        <f>E20/12*5%</f>
        <v>3.2583333333333336E-4</v>
      </c>
      <c r="I49" s="317"/>
      <c r="J49" s="315"/>
      <c r="K49" s="23"/>
      <c r="L49" s="23"/>
    </row>
    <row r="50" spans="1:12" x14ac:dyDescent="0.25">
      <c r="A50" s="314" t="s">
        <v>7</v>
      </c>
      <c r="B50" s="315"/>
      <c r="C50" s="314" t="s">
        <v>57</v>
      </c>
      <c r="D50" s="315"/>
      <c r="E50" s="49"/>
      <c r="F50" s="51"/>
      <c r="G50" s="50"/>
      <c r="H50" s="316">
        <f>E12/30/12</f>
        <v>4.3645203974603177</v>
      </c>
      <c r="I50" s="317"/>
      <c r="J50" s="315"/>
      <c r="K50" s="23"/>
      <c r="L50" s="23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271">
        <f>E12/30/12*5*1.5%</f>
        <v>0.32733902980952384</v>
      </c>
      <c r="I51" s="271"/>
      <c r="J51" s="271"/>
      <c r="K51" s="23"/>
      <c r="L51" s="23"/>
    </row>
    <row r="52" spans="1:12" ht="31.5" customHeight="1" x14ac:dyDescent="0.25">
      <c r="A52" s="232" t="s">
        <v>9</v>
      </c>
      <c r="B52" s="232"/>
      <c r="C52" s="661" t="s">
        <v>59</v>
      </c>
      <c r="D52" s="662"/>
      <c r="E52" s="341"/>
      <c r="F52" s="341"/>
      <c r="G52" s="341"/>
      <c r="H52" s="271">
        <f>E12/30/12*15*8%</f>
        <v>5.2374244769523806</v>
      </c>
      <c r="I52" s="271"/>
      <c r="J52" s="271"/>
      <c r="K52" s="23"/>
      <c r="L52" s="23"/>
    </row>
    <row r="53" spans="1:12" x14ac:dyDescent="0.25">
      <c r="A53" s="232" t="s">
        <v>10</v>
      </c>
      <c r="B53" s="232"/>
      <c r="C53" s="342" t="s">
        <v>60</v>
      </c>
      <c r="D53" s="343"/>
      <c r="E53" s="341"/>
      <c r="F53" s="341"/>
      <c r="G53" s="341"/>
      <c r="H53" s="271">
        <f>E20*5%</f>
        <v>3.9100000000000003E-3</v>
      </c>
      <c r="I53" s="271"/>
      <c r="J53" s="271"/>
      <c r="K53" s="23"/>
      <c r="L53" s="23"/>
    </row>
    <row r="54" spans="1:12" x14ac:dyDescent="0.25">
      <c r="A54" s="232" t="s">
        <v>11</v>
      </c>
      <c r="B54" s="232"/>
      <c r="C54" s="342" t="s">
        <v>61</v>
      </c>
      <c r="D54" s="343"/>
      <c r="E54" s="341"/>
      <c r="F54" s="341"/>
      <c r="G54" s="341"/>
      <c r="H54" s="271">
        <f>E12/30/12*5*40%</f>
        <v>8.7290407949206354</v>
      </c>
      <c r="I54" s="271"/>
      <c r="J54" s="271"/>
      <c r="K54" s="23"/>
      <c r="L54" s="23"/>
    </row>
    <row r="55" spans="1:12" ht="30" customHeight="1" x14ac:dyDescent="0.25">
      <c r="A55" s="232" t="s">
        <v>39</v>
      </c>
      <c r="B55" s="232"/>
      <c r="C55" s="342" t="s">
        <v>62</v>
      </c>
      <c r="D55" s="343"/>
      <c r="E55" s="341"/>
      <c r="F55" s="341"/>
      <c r="G55" s="341"/>
      <c r="H55" s="271">
        <f>SUM(H49:J54)*39.8%</f>
        <v>7.4276990919255237</v>
      </c>
      <c r="I55" s="271"/>
      <c r="J55" s="271"/>
      <c r="K55" s="23"/>
      <c r="L55" s="23"/>
    </row>
    <row r="56" spans="1:12" ht="15.75" thickBot="1" x14ac:dyDescent="0.3">
      <c r="A56" s="656" t="s">
        <v>36</v>
      </c>
      <c r="B56" s="656"/>
      <c r="C56" s="656"/>
      <c r="D56" s="656"/>
      <c r="E56" s="657"/>
      <c r="F56" s="658"/>
      <c r="G56" s="659"/>
      <c r="H56" s="660">
        <f>SUM(H49:J55)</f>
        <v>26.090259624401718</v>
      </c>
      <c r="I56" s="660"/>
      <c r="J56" s="660"/>
      <c r="K56" s="23"/>
      <c r="L56" s="23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23"/>
    </row>
    <row r="58" spans="1:12" ht="32.25" customHeight="1" x14ac:dyDescent="0.25">
      <c r="A58" s="314" t="s">
        <v>2</v>
      </c>
      <c r="B58" s="315"/>
      <c r="C58" s="344" t="s">
        <v>64</v>
      </c>
      <c r="D58" s="345"/>
      <c r="E58" s="49"/>
      <c r="F58" s="51"/>
      <c r="G58" s="50"/>
      <c r="H58" s="316">
        <f>((((E12+(E12/3))*0.3333)/12)*2%)</f>
        <v>1.1637557187788192</v>
      </c>
      <c r="I58" s="317"/>
      <c r="J58" s="315"/>
      <c r="K58" s="23"/>
      <c r="L58" s="23"/>
    </row>
    <row r="59" spans="1:12" ht="31.5" customHeight="1" x14ac:dyDescent="0.25">
      <c r="A59" s="314" t="s">
        <v>7</v>
      </c>
      <c r="B59" s="315"/>
      <c r="C59" s="344" t="s">
        <v>65</v>
      </c>
      <c r="D59" s="345"/>
      <c r="E59" s="49"/>
      <c r="F59" s="51"/>
      <c r="G59" s="50"/>
      <c r="H59" s="316">
        <f>H58*39.8%</f>
        <v>0.46317477607397001</v>
      </c>
      <c r="I59" s="317"/>
      <c r="J59" s="315"/>
      <c r="K59" s="23"/>
      <c r="L59" s="23"/>
    </row>
    <row r="60" spans="1:12" ht="45" customHeight="1" x14ac:dyDescent="0.25">
      <c r="A60" s="318" t="s">
        <v>8</v>
      </c>
      <c r="B60" s="319"/>
      <c r="C60" s="344" t="s">
        <v>66</v>
      </c>
      <c r="D60" s="345"/>
      <c r="E60" s="322"/>
      <c r="F60" s="323"/>
      <c r="G60" s="324"/>
      <c r="H60" s="271">
        <f>(((E12+H17)*0.333)*2%)*39.8%</f>
        <v>4.51175047422152</v>
      </c>
      <c r="I60" s="271"/>
      <c r="J60" s="271"/>
      <c r="K60" s="23"/>
      <c r="L60" s="23"/>
    </row>
    <row r="61" spans="1:12" x14ac:dyDescent="0.25">
      <c r="A61" s="232" t="s">
        <v>9</v>
      </c>
      <c r="B61" s="232"/>
      <c r="C61" s="265" t="s">
        <v>67</v>
      </c>
      <c r="D61" s="267"/>
      <c r="E61" s="341"/>
      <c r="F61" s="341"/>
      <c r="G61" s="341"/>
      <c r="H61" s="271"/>
      <c r="I61" s="271"/>
      <c r="J61" s="271"/>
      <c r="K61" s="23"/>
      <c r="L61" s="23"/>
    </row>
    <row r="62" spans="1:12" ht="15.75" thickBot="1" x14ac:dyDescent="0.3">
      <c r="A62" s="656" t="s">
        <v>36</v>
      </c>
      <c r="B62" s="656"/>
      <c r="C62" s="656"/>
      <c r="D62" s="656"/>
      <c r="E62" s="657"/>
      <c r="F62" s="658"/>
      <c r="G62" s="659"/>
      <c r="H62" s="660">
        <f>SUM(H58:J61)</f>
        <v>6.1386809690743096</v>
      </c>
      <c r="I62" s="660"/>
      <c r="J62" s="660"/>
      <c r="K62" s="23"/>
      <c r="L62" s="23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23"/>
    </row>
    <row r="64" spans="1:12" ht="33" customHeight="1" x14ac:dyDescent="0.25">
      <c r="A64" s="314" t="s">
        <v>2</v>
      </c>
      <c r="B64" s="315"/>
      <c r="C64" s="344" t="s">
        <v>69</v>
      </c>
      <c r="D64" s="345"/>
      <c r="E64" s="49"/>
      <c r="F64" s="51"/>
      <c r="G64" s="50"/>
      <c r="H64" s="316">
        <f>((((E18+(E18/3))*0.3333)/12)*2%)</f>
        <v>8.9620666666666654E-5</v>
      </c>
      <c r="I64" s="317"/>
      <c r="J64" s="315"/>
      <c r="K64" s="23"/>
      <c r="L64" s="23"/>
    </row>
    <row r="65" spans="1:12" ht="29.25" customHeight="1" x14ac:dyDescent="0.25">
      <c r="A65" s="314" t="s">
        <v>7</v>
      </c>
      <c r="B65" s="315"/>
      <c r="C65" s="344" t="s">
        <v>70</v>
      </c>
      <c r="D65" s="345"/>
      <c r="E65" s="49"/>
      <c r="F65" s="51"/>
      <c r="G65" s="50"/>
      <c r="H65" s="316">
        <f>H64*39.8%</f>
        <v>3.5669025333333325E-5</v>
      </c>
      <c r="I65" s="317"/>
      <c r="J65" s="315"/>
      <c r="K65" s="23"/>
      <c r="L65" s="23"/>
    </row>
    <row r="66" spans="1:12" ht="15.75" thickBot="1" x14ac:dyDescent="0.3">
      <c r="A66" s="651" t="s">
        <v>36</v>
      </c>
      <c r="B66" s="651"/>
      <c r="C66" s="651"/>
      <c r="D66" s="651"/>
      <c r="E66" s="652"/>
      <c r="F66" s="653"/>
      <c r="G66" s="654"/>
      <c r="H66" s="655">
        <f>SUM(H64:J65)</f>
        <v>1.2528969199999997E-4</v>
      </c>
      <c r="I66" s="655"/>
      <c r="J66" s="655"/>
      <c r="K66" s="23"/>
      <c r="L66" s="23"/>
    </row>
    <row r="67" spans="1:12" ht="15.75" thickBot="1" x14ac:dyDescent="0.3">
      <c r="A67" s="793" t="s">
        <v>71</v>
      </c>
      <c r="B67" s="794"/>
      <c r="C67" s="794"/>
      <c r="D67" s="795"/>
      <c r="E67" s="796">
        <f>H66+H62+H56</f>
        <v>32.229065883168026</v>
      </c>
      <c r="F67" s="797"/>
      <c r="G67" s="797"/>
      <c r="H67" s="797"/>
      <c r="I67" s="797"/>
      <c r="J67" s="798"/>
      <c r="K67" s="23"/>
      <c r="L67" s="23"/>
    </row>
    <row r="68" spans="1:12" ht="11.25" customHeight="1" thickBo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  <c r="L68" s="23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23"/>
    </row>
    <row r="70" spans="1:12" x14ac:dyDescent="0.25">
      <c r="A70" s="314" t="s">
        <v>2</v>
      </c>
      <c r="B70" s="315"/>
      <c r="C70" s="314" t="s">
        <v>74</v>
      </c>
      <c r="D70" s="315"/>
      <c r="E70" s="314"/>
      <c r="F70" s="317"/>
      <c r="G70" s="315"/>
      <c r="H70" s="316">
        <v>300</v>
      </c>
      <c r="I70" s="317"/>
      <c r="J70" s="315"/>
      <c r="K70" s="23"/>
      <c r="L70" s="23"/>
    </row>
    <row r="71" spans="1:12" x14ac:dyDescent="0.25">
      <c r="A71" s="314" t="s">
        <v>7</v>
      </c>
      <c r="B71" s="315"/>
      <c r="C71" s="314" t="s">
        <v>75</v>
      </c>
      <c r="D71" s="315"/>
      <c r="E71" s="49"/>
      <c r="F71" s="51"/>
      <c r="G71" s="50"/>
      <c r="H71" s="316">
        <v>5</v>
      </c>
      <c r="I71" s="317"/>
      <c r="J71" s="315"/>
      <c r="K71" s="23"/>
      <c r="L71" s="23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271">
        <v>43.5</v>
      </c>
      <c r="I72" s="271"/>
      <c r="J72" s="271"/>
      <c r="K72" s="23"/>
      <c r="L72" s="23"/>
    </row>
    <row r="73" spans="1:12" ht="15.75" thickBot="1" x14ac:dyDescent="0.3">
      <c r="A73" s="633" t="s">
        <v>9</v>
      </c>
      <c r="B73" s="633"/>
      <c r="C73" s="634" t="s">
        <v>28</v>
      </c>
      <c r="D73" s="635"/>
      <c r="E73" s="636"/>
      <c r="F73" s="636"/>
      <c r="G73" s="636"/>
      <c r="H73" s="637">
        <v>5</v>
      </c>
      <c r="I73" s="637"/>
      <c r="J73" s="637"/>
      <c r="K73" s="23"/>
      <c r="L73" s="23"/>
    </row>
    <row r="74" spans="1:12" ht="15.75" thickBot="1" x14ac:dyDescent="0.3">
      <c r="A74" s="802" t="s">
        <v>336</v>
      </c>
      <c r="B74" s="803"/>
      <c r="C74" s="803"/>
      <c r="D74" s="803"/>
      <c r="E74" s="803"/>
      <c r="F74" s="803"/>
      <c r="G74" s="804"/>
      <c r="H74" s="799">
        <f>SUM(H70:J73)</f>
        <v>353.5</v>
      </c>
      <c r="I74" s="800"/>
      <c r="J74" s="801"/>
      <c r="K74" s="23"/>
      <c r="L74" s="23"/>
    </row>
    <row r="75" spans="1:12" ht="9" customHeight="1" thickBot="1" x14ac:dyDescent="0.3">
      <c r="E75" s="17"/>
      <c r="F75" s="17"/>
      <c r="G75" s="17"/>
      <c r="H75" s="18"/>
      <c r="I75" s="18"/>
      <c r="J75" s="18"/>
      <c r="K75" s="23"/>
      <c r="L75" s="23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23"/>
    </row>
    <row r="77" spans="1:12" x14ac:dyDescent="0.25">
      <c r="A77" s="314" t="s">
        <v>2</v>
      </c>
      <c r="B77" s="315"/>
      <c r="C77" s="314" t="s">
        <v>77</v>
      </c>
      <c r="D77" s="315"/>
      <c r="E77" s="644">
        <v>7.0000000000000007E-2</v>
      </c>
      <c r="F77" s="317"/>
      <c r="G77" s="315"/>
      <c r="H77" s="316">
        <f>(H74+E67+H46+E37+E12)*E77</f>
        <v>249.73254227763539</v>
      </c>
      <c r="I77" s="317"/>
      <c r="J77" s="315"/>
      <c r="K77" s="23"/>
      <c r="L77" s="23"/>
    </row>
    <row r="78" spans="1:12" x14ac:dyDescent="0.25">
      <c r="A78" s="314" t="s">
        <v>7</v>
      </c>
      <c r="B78" s="315"/>
      <c r="C78" s="314" t="s">
        <v>12</v>
      </c>
      <c r="D78" s="315"/>
      <c r="E78" s="644">
        <v>7.5774185115783349E-2</v>
      </c>
      <c r="F78" s="317"/>
      <c r="G78" s="315"/>
      <c r="H78" s="316">
        <f>E78*(H74+E67+H46+E37+E12)</f>
        <v>270.33256982829619</v>
      </c>
      <c r="I78" s="317"/>
      <c r="J78" s="315"/>
      <c r="K78" s="23"/>
      <c r="L78" s="23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271">
        <f>(H74+E67+H46+E37+E12)/E79</f>
        <v>4160.4755064995479</v>
      </c>
      <c r="I79" s="271"/>
      <c r="J79" s="271"/>
      <c r="K79" s="23"/>
      <c r="L79" s="23"/>
    </row>
    <row r="80" spans="1:12" x14ac:dyDescent="0.25">
      <c r="A80" s="232" t="s">
        <v>9</v>
      </c>
      <c r="B80" s="232"/>
      <c r="C80" s="265" t="s">
        <v>79</v>
      </c>
      <c r="D80" s="267"/>
      <c r="E80" s="341">
        <v>1.6500000000000001E-2</v>
      </c>
      <c r="F80" s="341"/>
      <c r="G80" s="341"/>
      <c r="H80" s="271">
        <f>E80*H87</f>
        <v>54.550980000000003</v>
      </c>
      <c r="I80" s="271"/>
      <c r="J80" s="271"/>
      <c r="K80" s="23"/>
      <c r="L80" s="23"/>
    </row>
    <row r="81" spans="1:12" x14ac:dyDescent="0.25">
      <c r="A81" s="232" t="s">
        <v>9</v>
      </c>
      <c r="B81" s="232"/>
      <c r="C81" s="265" t="s">
        <v>80</v>
      </c>
      <c r="D81" s="267"/>
      <c r="E81" s="341">
        <v>7.5999999999999998E-2</v>
      </c>
      <c r="F81" s="341"/>
      <c r="G81" s="341"/>
      <c r="H81" s="271">
        <f>E81*H87</f>
        <v>251.26512</v>
      </c>
      <c r="I81" s="271"/>
      <c r="J81" s="271"/>
      <c r="K81" s="23"/>
      <c r="L81" s="23"/>
    </row>
    <row r="82" spans="1:12" x14ac:dyDescent="0.25">
      <c r="A82" s="232" t="s">
        <v>10</v>
      </c>
      <c r="B82" s="232"/>
      <c r="C82" s="265" t="s">
        <v>81</v>
      </c>
      <c r="D82" s="267"/>
      <c r="E82" s="341"/>
      <c r="F82" s="341"/>
      <c r="G82" s="341"/>
      <c r="H82" s="271"/>
      <c r="I82" s="271"/>
      <c r="J82" s="271"/>
      <c r="K82" s="23"/>
      <c r="L82" s="23"/>
    </row>
    <row r="83" spans="1:12" ht="15.75" thickBot="1" x14ac:dyDescent="0.3">
      <c r="A83" s="633" t="s">
        <v>11</v>
      </c>
      <c r="B83" s="633"/>
      <c r="C83" s="634" t="s">
        <v>82</v>
      </c>
      <c r="D83" s="635"/>
      <c r="E83" s="636">
        <v>0.05</v>
      </c>
      <c r="F83" s="636"/>
      <c r="G83" s="636"/>
      <c r="H83" s="637">
        <f>E83*H87</f>
        <v>165.30600000000001</v>
      </c>
      <c r="I83" s="637"/>
      <c r="J83" s="637"/>
      <c r="K83" s="23"/>
      <c r="L83" s="23"/>
    </row>
    <row r="84" spans="1:12" ht="15.75" thickBot="1" x14ac:dyDescent="0.3">
      <c r="A84" s="802" t="s">
        <v>340</v>
      </c>
      <c r="B84" s="803"/>
      <c r="C84" s="803"/>
      <c r="D84" s="803"/>
      <c r="E84" s="803"/>
      <c r="F84" s="803"/>
      <c r="G84" s="803"/>
      <c r="H84" s="799">
        <f>H77+H78+H80+H81+H83</f>
        <v>991.18721210593162</v>
      </c>
      <c r="I84" s="800"/>
      <c r="J84" s="801"/>
      <c r="K84" s="23"/>
      <c r="L84" s="23"/>
    </row>
    <row r="85" spans="1:12" ht="11.25" customHeight="1" thickBot="1" x14ac:dyDescent="0.3">
      <c r="E85" s="17"/>
      <c r="F85" s="17"/>
      <c r="G85" s="17"/>
      <c r="H85" s="18"/>
      <c r="I85" s="18"/>
      <c r="J85" s="18"/>
      <c r="K85" s="23"/>
      <c r="L85" s="23"/>
    </row>
    <row r="86" spans="1:12" ht="15.75" thickBot="1" x14ac:dyDescent="0.3">
      <c r="A86" s="627" t="s">
        <v>85</v>
      </c>
      <c r="B86" s="628"/>
      <c r="C86" s="628"/>
      <c r="D86" s="628"/>
      <c r="E86" s="628"/>
      <c r="F86" s="628"/>
      <c r="G86" s="629"/>
      <c r="H86" s="757">
        <f>SUM(H84+H74+E67+H46+E37+E12)</f>
        <v>4558.7949589292948</v>
      </c>
      <c r="I86" s="758"/>
      <c r="J86" s="759"/>
    </row>
    <row r="87" spans="1:12" ht="15.75" thickBot="1" x14ac:dyDescent="0.3">
      <c r="H87" s="126">
        <v>3306.12</v>
      </c>
      <c r="I87" s="126"/>
      <c r="J87" s="126"/>
    </row>
  </sheetData>
  <mergeCells count="230">
    <mergeCell ref="A1:J1"/>
    <mergeCell ref="A46:G46"/>
    <mergeCell ref="A74:G74"/>
    <mergeCell ref="A84:G8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6337778862885"/>
  </sheetPr>
  <dimension ref="A1:L87"/>
  <sheetViews>
    <sheetView view="pageBreakPreview" topLeftCell="A33" zoomScaleNormal="100" zoomScaleSheetLayoutView="100" workbookViewId="0">
      <selection activeCell="S28" sqref="S28"/>
    </sheetView>
  </sheetViews>
  <sheetFormatPr defaultRowHeight="15" x14ac:dyDescent="0.25"/>
  <cols>
    <col min="1" max="1" width="7.42578125" bestFit="1" customWidth="1"/>
    <col min="2" max="2" width="2" bestFit="1" customWidth="1"/>
    <col min="3" max="3" width="6.42578125" customWidth="1"/>
    <col min="4" max="4" width="45.7109375" customWidth="1"/>
    <col min="5" max="5" width="3.7109375" customWidth="1"/>
    <col min="6" max="6" width="2.5703125" customWidth="1"/>
    <col min="7" max="7" width="4" customWidth="1"/>
    <col min="8" max="8" width="5.5703125" customWidth="1"/>
    <col min="9" max="9" width="3.28515625" customWidth="1"/>
    <col min="10" max="10" width="3.140625" customWidth="1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23"/>
    </row>
    <row r="2" spans="1:12" ht="31.5" customHeight="1" thickBot="1" x14ac:dyDescent="0.3">
      <c r="A2" s="554" t="s">
        <v>0</v>
      </c>
      <c r="B2" s="555"/>
      <c r="C2" s="556"/>
      <c r="D2" s="737" t="s">
        <v>357</v>
      </c>
      <c r="E2" s="738"/>
      <c r="F2" s="738"/>
      <c r="G2" s="738"/>
      <c r="H2" s="738"/>
      <c r="I2" s="738"/>
      <c r="J2" s="739"/>
      <c r="K2" s="23"/>
    </row>
    <row r="3" spans="1:12" ht="11.25" customHeight="1" thickBot="1" x14ac:dyDescent="0.3">
      <c r="A3" s="267"/>
      <c r="B3" s="232"/>
      <c r="C3" s="232"/>
      <c r="D3" s="232"/>
      <c r="E3" s="232"/>
      <c r="F3" s="232"/>
      <c r="G3" s="232"/>
      <c r="H3" s="232"/>
      <c r="I3" s="232"/>
      <c r="J3" s="265"/>
      <c r="K3" s="23"/>
      <c r="L3" s="23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23"/>
    </row>
    <row r="5" spans="1:12" x14ac:dyDescent="0.25">
      <c r="A5" s="232" t="s">
        <v>31</v>
      </c>
      <c r="B5" s="232"/>
      <c r="C5" s="232"/>
      <c r="D5" s="232"/>
      <c r="E5" s="232"/>
      <c r="F5" s="232"/>
      <c r="G5" s="232"/>
      <c r="H5" s="232"/>
      <c r="I5" s="232"/>
      <c r="J5" s="232"/>
      <c r="K5" s="23"/>
      <c r="L5" s="23"/>
    </row>
    <row r="6" spans="1:12" x14ac:dyDescent="0.25">
      <c r="A6" s="121" t="s">
        <v>2</v>
      </c>
      <c r="B6" s="702" t="s">
        <v>1</v>
      </c>
      <c r="C6" s="703"/>
      <c r="D6" s="704"/>
      <c r="E6" s="788">
        <v>1137.23</v>
      </c>
      <c r="F6" s="788"/>
      <c r="G6" s="788"/>
      <c r="H6" s="788"/>
      <c r="I6" s="788"/>
      <c r="J6" s="788"/>
      <c r="K6" s="23"/>
      <c r="L6" s="23"/>
    </row>
    <row r="7" spans="1:12" x14ac:dyDescent="0.25">
      <c r="A7" s="121" t="s">
        <v>7</v>
      </c>
      <c r="B7" s="702" t="s">
        <v>25</v>
      </c>
      <c r="C7" s="703"/>
      <c r="D7" s="704"/>
      <c r="E7" s="790"/>
      <c r="F7" s="791"/>
      <c r="G7" s="791"/>
      <c r="H7" s="791"/>
      <c r="I7" s="791"/>
      <c r="J7" s="792"/>
      <c r="K7" s="23"/>
      <c r="L7" s="23"/>
    </row>
    <row r="8" spans="1:12" x14ac:dyDescent="0.25">
      <c r="A8" s="121" t="s">
        <v>8</v>
      </c>
      <c r="B8" s="702" t="s">
        <v>26</v>
      </c>
      <c r="C8" s="703"/>
      <c r="D8" s="704"/>
      <c r="E8" s="790">
        <f>((((E6+E11)/210)*20%)*9)*16</f>
        <v>213.28868571428575</v>
      </c>
      <c r="F8" s="791"/>
      <c r="G8" s="791"/>
      <c r="H8" s="791"/>
      <c r="I8" s="791"/>
      <c r="J8" s="792"/>
      <c r="K8" s="23"/>
      <c r="L8" s="23"/>
    </row>
    <row r="9" spans="1:12" x14ac:dyDescent="0.25">
      <c r="A9" s="121" t="s">
        <v>9</v>
      </c>
      <c r="B9" s="702" t="s">
        <v>27</v>
      </c>
      <c r="C9" s="703"/>
      <c r="D9" s="704"/>
      <c r="E9" s="790">
        <f>((((E6+E11)/210)*20%)*0.14)*16</f>
        <v>3.3178240000000008</v>
      </c>
      <c r="F9" s="791"/>
      <c r="G9" s="791"/>
      <c r="H9" s="791"/>
      <c r="I9" s="791"/>
      <c r="J9" s="792"/>
      <c r="K9" s="23"/>
      <c r="L9" s="23"/>
    </row>
    <row r="10" spans="1:12" x14ac:dyDescent="0.25">
      <c r="A10" s="121" t="s">
        <v>10</v>
      </c>
      <c r="B10" s="702" t="s">
        <v>28</v>
      </c>
      <c r="C10" s="703"/>
      <c r="D10" s="704"/>
      <c r="E10" s="788">
        <f>(((E8+E9)/25)*5)</f>
        <v>43.321301942857147</v>
      </c>
      <c r="F10" s="788"/>
      <c r="G10" s="788"/>
      <c r="H10" s="788"/>
      <c r="I10" s="788"/>
      <c r="J10" s="788"/>
      <c r="K10" s="23"/>
      <c r="L10" s="23"/>
    </row>
    <row r="11" spans="1:12" ht="15.75" thickBot="1" x14ac:dyDescent="0.3">
      <c r="A11" s="125" t="s">
        <v>11</v>
      </c>
      <c r="B11" s="609" t="s">
        <v>161</v>
      </c>
      <c r="C11" s="610"/>
      <c r="D11" s="611"/>
      <c r="E11" s="789">
        <f>1045*40%</f>
        <v>418</v>
      </c>
      <c r="F11" s="789"/>
      <c r="G11" s="789"/>
      <c r="H11" s="789"/>
      <c r="I11" s="789"/>
      <c r="J11" s="789"/>
      <c r="K11" s="23"/>
      <c r="L11" s="23"/>
    </row>
    <row r="12" spans="1:12" ht="15.75" thickBot="1" x14ac:dyDescent="0.3">
      <c r="A12" s="645" t="s">
        <v>330</v>
      </c>
      <c r="B12" s="646"/>
      <c r="C12" s="646"/>
      <c r="D12" s="745"/>
      <c r="E12" s="641">
        <f>SUM(E6:J11)</f>
        <v>1815.1578116571429</v>
      </c>
      <c r="F12" s="642"/>
      <c r="G12" s="642"/>
      <c r="H12" s="642"/>
      <c r="I12" s="642"/>
      <c r="J12" s="643"/>
      <c r="K12" s="23"/>
      <c r="L12" s="23"/>
    </row>
    <row r="13" spans="1:12" ht="29.25" customHeight="1" x14ac:dyDescent="0.25">
      <c r="A13" s="551" t="s">
        <v>29</v>
      </c>
      <c r="B13" s="715"/>
      <c r="C13" s="715"/>
      <c r="D13" s="716"/>
      <c r="E13" s="548">
        <f>E12*E30</f>
        <v>667.97807468982865</v>
      </c>
      <c r="F13" s="549"/>
      <c r="G13" s="549"/>
      <c r="H13" s="549"/>
      <c r="I13" s="549"/>
      <c r="J13" s="550"/>
      <c r="K13" s="23"/>
      <c r="L13" s="23"/>
    </row>
    <row r="14" spans="1:12" ht="9" customHeight="1" thickBot="1" x14ac:dyDescent="0.3">
      <c r="A14" s="232"/>
      <c r="B14" s="232"/>
      <c r="C14" s="232"/>
      <c r="D14" s="232"/>
      <c r="E14" s="232"/>
      <c r="F14" s="232"/>
      <c r="G14" s="232"/>
      <c r="H14" s="232"/>
      <c r="I14" s="232"/>
      <c r="J14" s="232"/>
      <c r="K14" s="23"/>
      <c r="L14" s="23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23"/>
    </row>
    <row r="16" spans="1:12" ht="30" customHeight="1" thickBot="1" x14ac:dyDescent="0.3">
      <c r="A16" s="507" t="s">
        <v>324</v>
      </c>
      <c r="B16" s="508"/>
      <c r="C16" s="508"/>
      <c r="D16" s="508"/>
      <c r="E16" s="508"/>
      <c r="F16" s="508"/>
      <c r="G16" s="508"/>
      <c r="H16" s="508"/>
      <c r="I16" s="508"/>
      <c r="J16" s="509"/>
      <c r="K16" s="23"/>
    </row>
    <row r="17" spans="1:12" x14ac:dyDescent="0.25">
      <c r="A17" s="121" t="s">
        <v>2</v>
      </c>
      <c r="B17" s="265" t="s">
        <v>34</v>
      </c>
      <c r="C17" s="266"/>
      <c r="D17" s="267"/>
      <c r="E17" s="278">
        <v>8.3299999999999999E-2</v>
      </c>
      <c r="F17" s="279"/>
      <c r="G17" s="280"/>
      <c r="H17" s="271">
        <f>E17*E12</f>
        <v>151.20264571103999</v>
      </c>
      <c r="I17" s="271"/>
      <c r="J17" s="271"/>
      <c r="K17" s="23"/>
      <c r="L17" s="23"/>
    </row>
    <row r="18" spans="1:12" x14ac:dyDescent="0.25">
      <c r="A18" s="121" t="s">
        <v>7</v>
      </c>
      <c r="B18" s="265" t="s">
        <v>35</v>
      </c>
      <c r="C18" s="266"/>
      <c r="D18" s="267"/>
      <c r="E18" s="268">
        <v>0.121</v>
      </c>
      <c r="F18" s="269"/>
      <c r="G18" s="270"/>
      <c r="H18" s="271">
        <f>E18*E12</f>
        <v>219.63409521051429</v>
      </c>
      <c r="I18" s="271"/>
      <c r="J18" s="271"/>
      <c r="K18" s="23"/>
      <c r="L18" s="23"/>
    </row>
    <row r="19" spans="1:12" x14ac:dyDescent="0.25">
      <c r="A19" s="687" t="s">
        <v>36</v>
      </c>
      <c r="B19" s="688"/>
      <c r="C19" s="688"/>
      <c r="D19" s="688"/>
      <c r="E19" s="688"/>
      <c r="F19" s="688"/>
      <c r="G19" s="689"/>
      <c r="H19" s="690">
        <f>SUM(H17:J18)</f>
        <v>370.83674092155428</v>
      </c>
      <c r="I19" s="690"/>
      <c r="J19" s="690"/>
      <c r="K19" s="23"/>
      <c r="L19" s="23"/>
    </row>
    <row r="20" spans="1:12" ht="30.75" customHeight="1" thickBot="1" x14ac:dyDescent="0.3">
      <c r="A20" s="123" t="s">
        <v>8</v>
      </c>
      <c r="B20" s="284" t="s">
        <v>37</v>
      </c>
      <c r="C20" s="285"/>
      <c r="D20" s="286"/>
      <c r="E20" s="287">
        <v>7.8200000000000006E-2</v>
      </c>
      <c r="F20" s="288"/>
      <c r="G20" s="289"/>
      <c r="H20" s="290">
        <f>E12*E20</f>
        <v>141.9453408715886</v>
      </c>
      <c r="I20" s="291"/>
      <c r="J20" s="292"/>
      <c r="K20" s="23"/>
      <c r="L20" s="23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23"/>
    </row>
    <row r="22" spans="1:12" x14ac:dyDescent="0.25">
      <c r="A22" s="265" t="s">
        <v>2</v>
      </c>
      <c r="B22" s="267"/>
      <c r="C22" s="676" t="s">
        <v>3</v>
      </c>
      <c r="D22" s="677"/>
      <c r="E22" s="678">
        <v>0.2</v>
      </c>
      <c r="F22" s="678"/>
      <c r="G22" s="678"/>
      <c r="H22" s="271">
        <f>E22*(E12+H19)</f>
        <v>437.19891051573944</v>
      </c>
      <c r="I22" s="271"/>
      <c r="J22" s="271"/>
      <c r="K22" s="23"/>
      <c r="L22" s="23"/>
    </row>
    <row r="23" spans="1:12" x14ac:dyDescent="0.25">
      <c r="A23" s="265" t="s">
        <v>7</v>
      </c>
      <c r="B23" s="267"/>
      <c r="C23" s="265" t="s">
        <v>41</v>
      </c>
      <c r="D23" s="267"/>
      <c r="E23" s="672">
        <v>2.5000000000000001E-2</v>
      </c>
      <c r="F23" s="672"/>
      <c r="G23" s="672"/>
      <c r="H23" s="271">
        <f>E23*(E12+H19)</f>
        <v>54.64986381446743</v>
      </c>
      <c r="I23" s="271"/>
      <c r="J23" s="271"/>
      <c r="K23" s="23"/>
      <c r="L23" s="23"/>
    </row>
    <row r="24" spans="1:12" x14ac:dyDescent="0.25">
      <c r="A24" s="265" t="s">
        <v>8</v>
      </c>
      <c r="B24" s="267"/>
      <c r="C24" s="684" t="s">
        <v>42</v>
      </c>
      <c r="D24" s="685"/>
      <c r="E24" s="686">
        <v>0.03</v>
      </c>
      <c r="F24" s="686"/>
      <c r="G24" s="686"/>
      <c r="H24" s="271">
        <f>E24*(E12+H19)</f>
        <v>65.579836577360908</v>
      </c>
      <c r="I24" s="271"/>
      <c r="J24" s="271"/>
      <c r="K24" s="23"/>
      <c r="L24" s="23"/>
    </row>
    <row r="25" spans="1:12" x14ac:dyDescent="0.25">
      <c r="A25" s="265" t="s">
        <v>9</v>
      </c>
      <c r="B25" s="267"/>
      <c r="C25" s="265" t="s">
        <v>43</v>
      </c>
      <c r="D25" s="267"/>
      <c r="E25" s="672">
        <v>1.4999999999999999E-2</v>
      </c>
      <c r="F25" s="672"/>
      <c r="G25" s="672"/>
      <c r="H25" s="271">
        <f>E25*(E12+H19)</f>
        <v>32.789918288680454</v>
      </c>
      <c r="I25" s="271"/>
      <c r="J25" s="271"/>
      <c r="K25" s="23"/>
      <c r="L25" s="23"/>
    </row>
    <row r="26" spans="1:12" x14ac:dyDescent="0.25">
      <c r="A26" s="265" t="s">
        <v>10</v>
      </c>
      <c r="B26" s="267"/>
      <c r="C26" s="265" t="s">
        <v>44</v>
      </c>
      <c r="D26" s="267"/>
      <c r="E26" s="672">
        <v>0.01</v>
      </c>
      <c r="F26" s="672"/>
      <c r="G26" s="672"/>
      <c r="H26" s="271">
        <f>E26*(E12+H19)</f>
        <v>21.859945525786969</v>
      </c>
      <c r="I26" s="271"/>
      <c r="J26" s="271"/>
      <c r="K26" s="23"/>
      <c r="L26" s="23"/>
    </row>
    <row r="27" spans="1:12" x14ac:dyDescent="0.25">
      <c r="A27" s="265" t="s">
        <v>11</v>
      </c>
      <c r="B27" s="267"/>
      <c r="C27" s="265" t="s">
        <v>6</v>
      </c>
      <c r="D27" s="267"/>
      <c r="E27" s="672">
        <v>6.0000000000000001E-3</v>
      </c>
      <c r="F27" s="672"/>
      <c r="G27" s="672"/>
      <c r="H27" s="271">
        <f>E27*(E12+H19)</f>
        <v>13.115967315472183</v>
      </c>
      <c r="I27" s="271"/>
      <c r="J27" s="271"/>
      <c r="K27" s="23"/>
      <c r="L27" s="23"/>
    </row>
    <row r="28" spans="1:12" x14ac:dyDescent="0.25">
      <c r="A28" s="265" t="s">
        <v>39</v>
      </c>
      <c r="B28" s="267"/>
      <c r="C28" s="265" t="s">
        <v>5</v>
      </c>
      <c r="D28" s="267"/>
      <c r="E28" s="672">
        <v>2E-3</v>
      </c>
      <c r="F28" s="672"/>
      <c r="G28" s="672"/>
      <c r="H28" s="271">
        <f>E28*(E12+H19)</f>
        <v>4.371989105157394</v>
      </c>
      <c r="I28" s="271"/>
      <c r="J28" s="271"/>
      <c r="K28" s="23"/>
      <c r="L28" s="23"/>
    </row>
    <row r="29" spans="1:12" x14ac:dyDescent="0.25">
      <c r="A29" s="679" t="s">
        <v>40</v>
      </c>
      <c r="B29" s="680"/>
      <c r="C29" s="265" t="s">
        <v>4</v>
      </c>
      <c r="D29" s="266"/>
      <c r="E29" s="681">
        <v>0.08</v>
      </c>
      <c r="F29" s="682"/>
      <c r="G29" s="683"/>
      <c r="H29" s="271">
        <f>E29*(E12+H19)</f>
        <v>174.87956420629575</v>
      </c>
      <c r="I29" s="271"/>
      <c r="J29" s="271"/>
      <c r="K29" s="23"/>
      <c r="L29" s="23"/>
    </row>
    <row r="30" spans="1:12" ht="15.75" thickBot="1" x14ac:dyDescent="0.3">
      <c r="A30" s="656" t="s">
        <v>36</v>
      </c>
      <c r="B30" s="656"/>
      <c r="C30" s="656"/>
      <c r="D30" s="656"/>
      <c r="E30" s="657">
        <f>SUM(E22:G29)</f>
        <v>0.36800000000000005</v>
      </c>
      <c r="F30" s="658"/>
      <c r="G30" s="659"/>
      <c r="H30" s="660">
        <f>SUM(H22:J29)</f>
        <v>804.44599534896054</v>
      </c>
      <c r="I30" s="660"/>
      <c r="J30" s="660"/>
      <c r="K30" s="23"/>
      <c r="L30" s="23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23"/>
    </row>
    <row r="32" spans="1:12" x14ac:dyDescent="0.25">
      <c r="A32" s="265" t="s">
        <v>2</v>
      </c>
      <c r="B32" s="267"/>
      <c r="C32" s="676" t="s">
        <v>46</v>
      </c>
      <c r="D32" s="677"/>
      <c r="E32" s="678"/>
      <c r="F32" s="678"/>
      <c r="G32" s="678"/>
      <c r="H32" s="271">
        <f>(3.9*2*16)-6%*E6</f>
        <v>56.566199999999995</v>
      </c>
      <c r="I32" s="271"/>
      <c r="J32" s="271"/>
      <c r="K32" s="23"/>
      <c r="L32" s="23"/>
    </row>
    <row r="33" spans="1:12" x14ac:dyDescent="0.25">
      <c r="A33" s="265" t="s">
        <v>7</v>
      </c>
      <c r="B33" s="267"/>
      <c r="C33" s="265" t="s">
        <v>47</v>
      </c>
      <c r="D33" s="267"/>
      <c r="E33" s="672"/>
      <c r="F33" s="672"/>
      <c r="G33" s="672"/>
      <c r="H33" s="271">
        <f>(21.63*16)-20%</f>
        <v>345.88</v>
      </c>
      <c r="I33" s="271"/>
      <c r="J33" s="271"/>
      <c r="K33" s="23"/>
      <c r="L33" s="23"/>
    </row>
    <row r="34" spans="1:12" x14ac:dyDescent="0.25">
      <c r="A34" s="265" t="s">
        <v>8</v>
      </c>
      <c r="B34" s="267"/>
      <c r="C34" s="284" t="s">
        <v>49</v>
      </c>
      <c r="D34" s="286"/>
      <c r="E34" s="672"/>
      <c r="F34" s="672"/>
      <c r="G34" s="672"/>
      <c r="H34" s="271">
        <v>36.57</v>
      </c>
      <c r="I34" s="271"/>
      <c r="J34" s="271"/>
      <c r="K34" s="23"/>
      <c r="L34" s="23"/>
    </row>
    <row r="35" spans="1:12" x14ac:dyDescent="0.25">
      <c r="A35" s="265" t="s">
        <v>9</v>
      </c>
      <c r="B35" s="267"/>
      <c r="C35" s="342" t="s">
        <v>28</v>
      </c>
      <c r="D35" s="343"/>
      <c r="E35" s="672"/>
      <c r="F35" s="672"/>
      <c r="G35" s="672"/>
      <c r="H35" s="271">
        <v>25.95</v>
      </c>
      <c r="I35" s="271"/>
      <c r="J35" s="271"/>
      <c r="K35" s="23"/>
      <c r="L35" s="23"/>
    </row>
    <row r="36" spans="1:12" ht="15.75" thickBot="1" x14ac:dyDescent="0.3">
      <c r="A36" s="673" t="s">
        <v>38</v>
      </c>
      <c r="B36" s="674"/>
      <c r="C36" s="674"/>
      <c r="D36" s="674"/>
      <c r="E36" s="674"/>
      <c r="F36" s="674"/>
      <c r="G36" s="675"/>
      <c r="H36" s="655">
        <f>SUM(H32:J35)</f>
        <v>464.96619999999996</v>
      </c>
      <c r="I36" s="655"/>
      <c r="J36" s="655"/>
      <c r="K36" s="23"/>
      <c r="L36" s="23"/>
    </row>
    <row r="37" spans="1:12" ht="15.75" thickBot="1" x14ac:dyDescent="0.3">
      <c r="A37" s="645" t="s">
        <v>72</v>
      </c>
      <c r="B37" s="646"/>
      <c r="C37" s="646"/>
      <c r="D37" s="745"/>
      <c r="E37" s="648">
        <f>H19+H30+H36</f>
        <v>1640.2489362705146</v>
      </c>
      <c r="F37" s="649"/>
      <c r="G37" s="649"/>
      <c r="H37" s="649"/>
      <c r="I37" s="649"/>
      <c r="J37" s="650"/>
      <c r="K37" s="23"/>
      <c r="L37" s="23"/>
    </row>
    <row r="38" spans="1:12" ht="12" customHeight="1" thickBot="1" x14ac:dyDescent="0.3">
      <c r="A38" s="669"/>
      <c r="B38" s="670"/>
      <c r="C38" s="670"/>
      <c r="D38" s="670"/>
      <c r="E38" s="670"/>
      <c r="F38" s="670"/>
      <c r="G38" s="670"/>
      <c r="H38" s="670"/>
      <c r="I38" s="670"/>
      <c r="J38" s="671"/>
      <c r="K38" s="23"/>
      <c r="L38" s="23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23"/>
    </row>
    <row r="40" spans="1:12" x14ac:dyDescent="0.25">
      <c r="A40" s="314" t="s">
        <v>2</v>
      </c>
      <c r="B40" s="315"/>
      <c r="C40" s="314" t="s">
        <v>51</v>
      </c>
      <c r="D40" s="315"/>
      <c r="E40" s="49"/>
      <c r="F40" s="51"/>
      <c r="G40" s="50"/>
      <c r="H40" s="316">
        <f>E12/12*5%</f>
        <v>7.5631575485714295</v>
      </c>
      <c r="I40" s="317"/>
      <c r="J40" s="315"/>
      <c r="K40" s="23"/>
      <c r="L40" s="23"/>
    </row>
    <row r="41" spans="1:12" x14ac:dyDescent="0.25">
      <c r="A41" s="314" t="s">
        <v>7</v>
      </c>
      <c r="B41" s="315"/>
      <c r="C41" s="314" t="s">
        <v>52</v>
      </c>
      <c r="D41" s="315"/>
      <c r="E41" s="49"/>
      <c r="F41" s="51"/>
      <c r="G41" s="50"/>
      <c r="H41" s="316">
        <f>H40*8%</f>
        <v>0.60505260388571436</v>
      </c>
      <c r="I41" s="317"/>
      <c r="J41" s="315"/>
      <c r="K41" s="23"/>
      <c r="L41" s="23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271">
        <f>E42*E12</f>
        <v>0</v>
      </c>
      <c r="I42" s="271"/>
      <c r="J42" s="271"/>
      <c r="K42" s="23"/>
      <c r="L42" s="23"/>
    </row>
    <row r="43" spans="1:12" x14ac:dyDescent="0.25">
      <c r="A43" s="232" t="s">
        <v>9</v>
      </c>
      <c r="B43" s="232"/>
      <c r="C43" s="265" t="s">
        <v>54</v>
      </c>
      <c r="D43" s="267"/>
      <c r="E43" s="341"/>
      <c r="F43" s="341"/>
      <c r="G43" s="341"/>
      <c r="H43" s="271">
        <f>E12/30/12*7*100%</f>
        <v>35.294735226666667</v>
      </c>
      <c r="I43" s="271"/>
      <c r="J43" s="271"/>
      <c r="K43" s="23"/>
      <c r="L43" s="23"/>
    </row>
    <row r="44" spans="1:12" ht="30.75" customHeight="1" x14ac:dyDescent="0.25">
      <c r="A44" s="232" t="s">
        <v>10</v>
      </c>
      <c r="B44" s="232"/>
      <c r="C44" s="342" t="s">
        <v>83</v>
      </c>
      <c r="D44" s="343"/>
      <c r="E44" s="341"/>
      <c r="F44" s="341"/>
      <c r="G44" s="341"/>
      <c r="H44" s="271">
        <f>H43*39.8%</f>
        <v>14.047304620213332</v>
      </c>
      <c r="I44" s="271"/>
      <c r="J44" s="271"/>
      <c r="K44" s="23"/>
      <c r="L44" s="23"/>
    </row>
    <row r="45" spans="1:12" ht="30.75" customHeight="1" thickBot="1" x14ac:dyDescent="0.3">
      <c r="A45" s="634" t="s">
        <v>11</v>
      </c>
      <c r="B45" s="635"/>
      <c r="C45" s="755" t="s">
        <v>53</v>
      </c>
      <c r="D45" s="756"/>
      <c r="E45" s="663"/>
      <c r="F45" s="664"/>
      <c r="G45" s="665"/>
      <c r="H45" s="666">
        <f>E12*5%</f>
        <v>90.757890582857158</v>
      </c>
      <c r="I45" s="667"/>
      <c r="J45" s="668"/>
      <c r="K45" s="23"/>
      <c r="L45" s="23"/>
    </row>
    <row r="46" spans="1:12" ht="15.75" thickBot="1" x14ac:dyDescent="0.3">
      <c r="A46" s="638" t="s">
        <v>333</v>
      </c>
      <c r="B46" s="639"/>
      <c r="C46" s="639"/>
      <c r="D46" s="639"/>
      <c r="E46" s="639"/>
      <c r="F46" s="639"/>
      <c r="G46" s="640"/>
      <c r="H46" s="641">
        <f>SUM(H40:J45)</f>
        <v>148.26814058219429</v>
      </c>
      <c r="I46" s="642"/>
      <c r="J46" s="643"/>
      <c r="K46" s="23"/>
      <c r="L46" s="23"/>
    </row>
    <row r="47" spans="1:12" ht="9" customHeight="1" thickBot="1" x14ac:dyDescent="0.3">
      <c r="E47" s="17"/>
      <c r="F47" s="17"/>
      <c r="G47" s="17"/>
      <c r="H47" s="18"/>
      <c r="I47" s="18"/>
      <c r="J47" s="18"/>
      <c r="K47" s="23"/>
      <c r="L47" s="23"/>
    </row>
    <row r="48" spans="1:12" ht="30" customHeight="1" thickBot="1" x14ac:dyDescent="0.3">
      <c r="A48" s="494" t="s">
        <v>359</v>
      </c>
      <c r="B48" s="495"/>
      <c r="C48" s="495"/>
      <c r="D48" s="495"/>
      <c r="E48" s="495"/>
      <c r="F48" s="495"/>
      <c r="G48" s="495"/>
      <c r="H48" s="495"/>
      <c r="I48" s="495"/>
      <c r="J48" s="496"/>
      <c r="K48" s="23"/>
    </row>
    <row r="49" spans="1:12" x14ac:dyDescent="0.25">
      <c r="A49" s="314" t="s">
        <v>2</v>
      </c>
      <c r="B49" s="315"/>
      <c r="C49" s="314" t="s">
        <v>56</v>
      </c>
      <c r="D49" s="315"/>
      <c r="E49" s="49"/>
      <c r="F49" s="51"/>
      <c r="G49" s="50"/>
      <c r="H49" s="316">
        <f>E20/12*5%</f>
        <v>3.2583333333333336E-4</v>
      </c>
      <c r="I49" s="317"/>
      <c r="J49" s="315"/>
      <c r="K49" s="23"/>
      <c r="L49" s="23"/>
    </row>
    <row r="50" spans="1:12" x14ac:dyDescent="0.25">
      <c r="A50" s="314" t="s">
        <v>7</v>
      </c>
      <c r="B50" s="315"/>
      <c r="C50" s="314" t="s">
        <v>57</v>
      </c>
      <c r="D50" s="315"/>
      <c r="E50" s="49"/>
      <c r="F50" s="51"/>
      <c r="G50" s="50"/>
      <c r="H50" s="316">
        <f>E12/30/12</f>
        <v>5.0421050323809524</v>
      </c>
      <c r="I50" s="317"/>
      <c r="J50" s="315"/>
      <c r="K50" s="23"/>
      <c r="L50" s="23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271">
        <f>E12/30/12*5*1.5%</f>
        <v>0.37815787742857143</v>
      </c>
      <c r="I51" s="271"/>
      <c r="J51" s="271"/>
      <c r="K51" s="23"/>
      <c r="L51" s="23"/>
    </row>
    <row r="52" spans="1:12" ht="27.75" customHeight="1" x14ac:dyDescent="0.25">
      <c r="A52" s="232" t="s">
        <v>9</v>
      </c>
      <c r="B52" s="232"/>
      <c r="C52" s="661" t="s">
        <v>59</v>
      </c>
      <c r="D52" s="662"/>
      <c r="E52" s="341"/>
      <c r="F52" s="341"/>
      <c r="G52" s="341"/>
      <c r="H52" s="271">
        <f>E12/30/12*15*8%</f>
        <v>6.0505260388571429</v>
      </c>
      <c r="I52" s="271"/>
      <c r="J52" s="271"/>
      <c r="K52" s="23"/>
      <c r="L52" s="23"/>
    </row>
    <row r="53" spans="1:12" x14ac:dyDescent="0.25">
      <c r="A53" s="232" t="s">
        <v>10</v>
      </c>
      <c r="B53" s="232"/>
      <c r="C53" s="342" t="s">
        <v>60</v>
      </c>
      <c r="D53" s="343"/>
      <c r="E53" s="341"/>
      <c r="F53" s="341"/>
      <c r="G53" s="341"/>
      <c r="H53" s="271">
        <f>E20*5%</f>
        <v>3.9100000000000003E-3</v>
      </c>
      <c r="I53" s="271"/>
      <c r="J53" s="271"/>
      <c r="K53" s="23"/>
      <c r="L53" s="23"/>
    </row>
    <row r="54" spans="1:12" x14ac:dyDescent="0.25">
      <c r="A54" s="232" t="s">
        <v>11</v>
      </c>
      <c r="B54" s="232"/>
      <c r="C54" s="342" t="s">
        <v>61</v>
      </c>
      <c r="D54" s="343"/>
      <c r="E54" s="341"/>
      <c r="F54" s="341"/>
      <c r="G54" s="341"/>
      <c r="H54" s="271">
        <f>E12/30/12*5*40%</f>
        <v>10.084210064761905</v>
      </c>
      <c r="I54" s="271"/>
      <c r="J54" s="271"/>
      <c r="K54" s="23"/>
      <c r="L54" s="23"/>
    </row>
    <row r="55" spans="1:12" ht="30" customHeight="1" x14ac:dyDescent="0.25">
      <c r="A55" s="232" t="s">
        <v>39</v>
      </c>
      <c r="B55" s="232"/>
      <c r="C55" s="342" t="s">
        <v>62</v>
      </c>
      <c r="D55" s="343"/>
      <c r="E55" s="341"/>
      <c r="F55" s="341"/>
      <c r="G55" s="341"/>
      <c r="H55" s="271">
        <f>SUM(H49:J54)*39.8%</f>
        <v>8.5805754690112366</v>
      </c>
      <c r="I55" s="271"/>
      <c r="J55" s="271"/>
      <c r="K55" s="23"/>
      <c r="L55" s="23"/>
    </row>
    <row r="56" spans="1:12" ht="15.75" thickBot="1" x14ac:dyDescent="0.3">
      <c r="A56" s="656" t="s">
        <v>36</v>
      </c>
      <c r="B56" s="656"/>
      <c r="C56" s="656"/>
      <c r="D56" s="656"/>
      <c r="E56" s="657"/>
      <c r="F56" s="658"/>
      <c r="G56" s="659"/>
      <c r="H56" s="660">
        <f>SUM(H49:J55)</f>
        <v>30.13981031577314</v>
      </c>
      <c r="I56" s="660"/>
      <c r="J56" s="660"/>
      <c r="K56" s="23"/>
      <c r="L56" s="23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23"/>
    </row>
    <row r="58" spans="1:12" ht="32.25" customHeight="1" x14ac:dyDescent="0.25">
      <c r="A58" s="314" t="s">
        <v>2</v>
      </c>
      <c r="B58" s="315"/>
      <c r="C58" s="344" t="s">
        <v>64</v>
      </c>
      <c r="D58" s="345"/>
      <c r="E58" s="49"/>
      <c r="F58" s="51"/>
      <c r="G58" s="50"/>
      <c r="H58" s="316">
        <f>((((E12+(E12/3))*0.3333)/12)*2%)</f>
        <v>1.3444268858340573</v>
      </c>
      <c r="I58" s="317"/>
      <c r="J58" s="315"/>
      <c r="K58" s="23"/>
      <c r="L58" s="23"/>
    </row>
    <row r="59" spans="1:12" ht="31.5" customHeight="1" x14ac:dyDescent="0.25">
      <c r="A59" s="314" t="s">
        <v>7</v>
      </c>
      <c r="B59" s="315"/>
      <c r="C59" s="344" t="s">
        <v>65</v>
      </c>
      <c r="D59" s="345"/>
      <c r="E59" s="49"/>
      <c r="F59" s="51"/>
      <c r="G59" s="50"/>
      <c r="H59" s="316">
        <f>H58*39.8%</f>
        <v>0.53508190056195482</v>
      </c>
      <c r="I59" s="317"/>
      <c r="J59" s="315"/>
      <c r="K59" s="23"/>
      <c r="L59" s="23"/>
    </row>
    <row r="60" spans="1:12" ht="43.5" customHeight="1" x14ac:dyDescent="0.25">
      <c r="A60" s="318" t="s">
        <v>8</v>
      </c>
      <c r="B60" s="319"/>
      <c r="C60" s="344" t="s">
        <v>66</v>
      </c>
      <c r="D60" s="345"/>
      <c r="E60" s="322"/>
      <c r="F60" s="323"/>
      <c r="G60" s="324"/>
      <c r="H60" s="271">
        <f>(((E12+H17)*0.333)*2%)*39.8%</f>
        <v>5.2121923371366945</v>
      </c>
      <c r="I60" s="271"/>
      <c r="J60" s="271"/>
      <c r="K60" s="23"/>
      <c r="L60" s="23"/>
    </row>
    <row r="61" spans="1:12" x14ac:dyDescent="0.25">
      <c r="A61" s="232" t="s">
        <v>9</v>
      </c>
      <c r="B61" s="232"/>
      <c r="C61" s="265" t="s">
        <v>67</v>
      </c>
      <c r="D61" s="267"/>
      <c r="E61" s="341"/>
      <c r="F61" s="341"/>
      <c r="G61" s="341"/>
      <c r="H61" s="271"/>
      <c r="I61" s="271"/>
      <c r="J61" s="271"/>
      <c r="K61" s="23"/>
      <c r="L61" s="23"/>
    </row>
    <row r="62" spans="1:12" ht="15.75" thickBot="1" x14ac:dyDescent="0.3">
      <c r="A62" s="656" t="s">
        <v>36</v>
      </c>
      <c r="B62" s="656"/>
      <c r="C62" s="656"/>
      <c r="D62" s="656"/>
      <c r="E62" s="657"/>
      <c r="F62" s="658"/>
      <c r="G62" s="659"/>
      <c r="H62" s="660">
        <f>SUM(H58:J61)</f>
        <v>7.0917011235327063</v>
      </c>
      <c r="I62" s="660"/>
      <c r="J62" s="660"/>
      <c r="K62" s="23"/>
      <c r="L62" s="23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23"/>
    </row>
    <row r="64" spans="1:12" ht="33" customHeight="1" x14ac:dyDescent="0.25">
      <c r="A64" s="314" t="s">
        <v>2</v>
      </c>
      <c r="B64" s="315"/>
      <c r="C64" s="344" t="s">
        <v>69</v>
      </c>
      <c r="D64" s="345"/>
      <c r="E64" s="49"/>
      <c r="F64" s="51"/>
      <c r="G64" s="50"/>
      <c r="H64" s="316">
        <f>((((E18+(E18/3))*0.3333)/12)*2%)</f>
        <v>8.9620666666666654E-5</v>
      </c>
      <c r="I64" s="317"/>
      <c r="J64" s="315"/>
      <c r="K64" s="23"/>
      <c r="L64" s="23"/>
    </row>
    <row r="65" spans="1:12" ht="29.25" customHeight="1" x14ac:dyDescent="0.25">
      <c r="A65" s="314" t="s">
        <v>7</v>
      </c>
      <c r="B65" s="315"/>
      <c r="C65" s="344" t="s">
        <v>70</v>
      </c>
      <c r="D65" s="345"/>
      <c r="E65" s="49"/>
      <c r="F65" s="51"/>
      <c r="G65" s="50"/>
      <c r="H65" s="316">
        <f>H64*39.8%</f>
        <v>3.5669025333333325E-5</v>
      </c>
      <c r="I65" s="317"/>
      <c r="J65" s="315"/>
      <c r="K65" s="23"/>
      <c r="L65" s="23"/>
    </row>
    <row r="66" spans="1:12" ht="15.75" thickBot="1" x14ac:dyDescent="0.3">
      <c r="A66" s="651" t="s">
        <v>36</v>
      </c>
      <c r="B66" s="651"/>
      <c r="C66" s="651"/>
      <c r="D66" s="651"/>
      <c r="E66" s="652"/>
      <c r="F66" s="653"/>
      <c r="G66" s="654"/>
      <c r="H66" s="655">
        <f>SUM(H64:J65)</f>
        <v>1.2528969199999997E-4</v>
      </c>
      <c r="I66" s="655"/>
      <c r="J66" s="655"/>
      <c r="K66" s="23"/>
      <c r="L66" s="23"/>
    </row>
    <row r="67" spans="1:12" ht="15.75" thickBot="1" x14ac:dyDescent="0.3">
      <c r="A67" s="645" t="s">
        <v>71</v>
      </c>
      <c r="B67" s="646"/>
      <c r="C67" s="646"/>
      <c r="D67" s="745"/>
      <c r="E67" s="648">
        <f>H66+H62+H56</f>
        <v>37.231636728997849</v>
      </c>
      <c r="F67" s="649"/>
      <c r="G67" s="649"/>
      <c r="H67" s="649"/>
      <c r="I67" s="649"/>
      <c r="J67" s="650"/>
      <c r="K67" s="23"/>
      <c r="L67" s="23"/>
    </row>
    <row r="68" spans="1:12" ht="12" customHeight="1" thickBo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  <c r="L68" s="23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23"/>
    </row>
    <row r="70" spans="1:12" x14ac:dyDescent="0.25">
      <c r="A70" s="314" t="s">
        <v>2</v>
      </c>
      <c r="B70" s="315"/>
      <c r="C70" s="314" t="s">
        <v>74</v>
      </c>
      <c r="D70" s="315"/>
      <c r="E70" s="314"/>
      <c r="F70" s="317"/>
      <c r="G70" s="315"/>
      <c r="H70" s="316">
        <v>300</v>
      </c>
      <c r="I70" s="317"/>
      <c r="J70" s="315"/>
      <c r="K70" s="23"/>
      <c r="L70" s="23"/>
    </row>
    <row r="71" spans="1:12" x14ac:dyDescent="0.25">
      <c r="A71" s="314" t="s">
        <v>7</v>
      </c>
      <c r="B71" s="315"/>
      <c r="C71" s="314" t="s">
        <v>75</v>
      </c>
      <c r="D71" s="315"/>
      <c r="E71" s="49"/>
      <c r="F71" s="51"/>
      <c r="G71" s="50"/>
      <c r="H71" s="316">
        <v>5</v>
      </c>
      <c r="I71" s="317"/>
      <c r="J71" s="315"/>
      <c r="K71" s="23"/>
      <c r="L71" s="23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271">
        <v>43.5</v>
      </c>
      <c r="I72" s="271"/>
      <c r="J72" s="271"/>
      <c r="K72" s="23"/>
      <c r="L72" s="23"/>
    </row>
    <row r="73" spans="1:12" ht="15.75" thickBot="1" x14ac:dyDescent="0.3">
      <c r="A73" s="633" t="s">
        <v>9</v>
      </c>
      <c r="B73" s="633"/>
      <c r="C73" s="634" t="s">
        <v>28</v>
      </c>
      <c r="D73" s="635"/>
      <c r="E73" s="636"/>
      <c r="F73" s="636"/>
      <c r="G73" s="636"/>
      <c r="H73" s="637">
        <v>5</v>
      </c>
      <c r="I73" s="637"/>
      <c r="J73" s="637"/>
      <c r="K73" s="23"/>
      <c r="L73" s="23"/>
    </row>
    <row r="74" spans="1:12" ht="15.75" thickBot="1" x14ac:dyDescent="0.3">
      <c r="A74" s="638" t="s">
        <v>336</v>
      </c>
      <c r="B74" s="639"/>
      <c r="C74" s="639"/>
      <c r="D74" s="639"/>
      <c r="E74" s="639"/>
      <c r="F74" s="639"/>
      <c r="G74" s="639"/>
      <c r="H74" s="641">
        <f>SUM(H70:J73)</f>
        <v>353.5</v>
      </c>
      <c r="I74" s="642"/>
      <c r="J74" s="643"/>
      <c r="K74" s="23"/>
      <c r="L74" s="23"/>
    </row>
    <row r="75" spans="1:12" ht="9.75" customHeight="1" thickBot="1" x14ac:dyDescent="0.3">
      <c r="E75" s="17"/>
      <c r="F75" s="17"/>
      <c r="G75" s="17"/>
      <c r="H75" s="18"/>
      <c r="I75" s="18"/>
      <c r="J75" s="18"/>
      <c r="K75" s="23"/>
      <c r="L75" s="23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23"/>
    </row>
    <row r="77" spans="1:12" x14ac:dyDescent="0.25">
      <c r="A77" s="314" t="s">
        <v>2</v>
      </c>
      <c r="B77" s="315"/>
      <c r="C77" s="314" t="s">
        <v>77</v>
      </c>
      <c r="D77" s="315"/>
      <c r="E77" s="644">
        <v>7.0000000000000007E-2</v>
      </c>
      <c r="F77" s="317"/>
      <c r="G77" s="315"/>
      <c r="H77" s="316">
        <f>(H74+E67+H46+E37+E12)*E77</f>
        <v>279.60845676671954</v>
      </c>
      <c r="I77" s="317"/>
      <c r="J77" s="315"/>
      <c r="K77" s="23"/>
      <c r="L77" s="23"/>
    </row>
    <row r="78" spans="1:12" x14ac:dyDescent="0.25">
      <c r="A78" s="314" t="s">
        <v>7</v>
      </c>
      <c r="B78" s="315"/>
      <c r="C78" s="314" t="s">
        <v>12</v>
      </c>
      <c r="D78" s="315"/>
      <c r="E78" s="644">
        <v>7.5774185115783349E-2</v>
      </c>
      <c r="F78" s="317"/>
      <c r="G78" s="315"/>
      <c r="H78" s="316">
        <f>E78*(H74+E67+H46+E37+E12)</f>
        <v>302.67289947114153</v>
      </c>
      <c r="I78" s="317"/>
      <c r="J78" s="315"/>
      <c r="K78" s="23"/>
      <c r="L78" s="23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271">
        <f>(H74+E67+H46+E37+E12)/E79</f>
        <v>4658.200029433061</v>
      </c>
      <c r="I79" s="271"/>
      <c r="J79" s="271"/>
      <c r="K79" s="23"/>
      <c r="L79" s="23"/>
    </row>
    <row r="80" spans="1:12" x14ac:dyDescent="0.25">
      <c r="A80" s="232" t="s">
        <v>9</v>
      </c>
      <c r="B80" s="232"/>
      <c r="C80" s="265" t="s">
        <v>79</v>
      </c>
      <c r="D80" s="267"/>
      <c r="E80" s="341">
        <v>1.6500000000000001E-2</v>
      </c>
      <c r="F80" s="341"/>
      <c r="G80" s="341"/>
      <c r="H80" s="271">
        <f>E80*H87</f>
        <v>54.550980000000003</v>
      </c>
      <c r="I80" s="271"/>
      <c r="J80" s="271"/>
      <c r="K80" s="23"/>
      <c r="L80" s="23"/>
    </row>
    <row r="81" spans="1:12" x14ac:dyDescent="0.25">
      <c r="A81" s="232" t="s">
        <v>9</v>
      </c>
      <c r="B81" s="232"/>
      <c r="C81" s="265" t="s">
        <v>80</v>
      </c>
      <c r="D81" s="267"/>
      <c r="E81" s="341">
        <v>7.5999999999999998E-2</v>
      </c>
      <c r="F81" s="341"/>
      <c r="G81" s="341"/>
      <c r="H81" s="271">
        <f>E81*H87</f>
        <v>251.26512</v>
      </c>
      <c r="I81" s="271"/>
      <c r="J81" s="271"/>
      <c r="K81" s="23"/>
      <c r="L81" s="23"/>
    </row>
    <row r="82" spans="1:12" x14ac:dyDescent="0.25">
      <c r="A82" s="232" t="s">
        <v>10</v>
      </c>
      <c r="B82" s="232"/>
      <c r="C82" s="265" t="s">
        <v>81</v>
      </c>
      <c r="D82" s="267"/>
      <c r="E82" s="341"/>
      <c r="F82" s="341"/>
      <c r="G82" s="341"/>
      <c r="H82" s="271"/>
      <c r="I82" s="271"/>
      <c r="J82" s="271"/>
      <c r="K82" s="23"/>
      <c r="L82" s="23"/>
    </row>
    <row r="83" spans="1:12" ht="15.75" thickBot="1" x14ac:dyDescent="0.3">
      <c r="A83" s="633" t="s">
        <v>11</v>
      </c>
      <c r="B83" s="633"/>
      <c r="C83" s="634" t="s">
        <v>82</v>
      </c>
      <c r="D83" s="635"/>
      <c r="E83" s="636">
        <v>0.05</v>
      </c>
      <c r="F83" s="636"/>
      <c r="G83" s="636"/>
      <c r="H83" s="637">
        <f>E83*H87</f>
        <v>165.30600000000001</v>
      </c>
      <c r="I83" s="637"/>
      <c r="J83" s="637"/>
      <c r="K83" s="23"/>
      <c r="L83" s="23"/>
    </row>
    <row r="84" spans="1:12" ht="14.25" customHeight="1" thickBot="1" x14ac:dyDescent="0.3">
      <c r="A84" s="638" t="s">
        <v>340</v>
      </c>
      <c r="B84" s="639"/>
      <c r="C84" s="639"/>
      <c r="D84" s="639"/>
      <c r="E84" s="639"/>
      <c r="F84" s="639"/>
      <c r="G84" s="639"/>
      <c r="H84" s="641">
        <f>H77+H78+H80+H81+H83</f>
        <v>1053.4034562378611</v>
      </c>
      <c r="I84" s="642"/>
      <c r="J84" s="643"/>
      <c r="K84" s="23"/>
      <c r="L84" s="23"/>
    </row>
    <row r="85" spans="1:12" ht="12" customHeight="1" thickBot="1" x14ac:dyDescent="0.3">
      <c r="E85" s="17"/>
      <c r="F85" s="17"/>
      <c r="G85" s="17"/>
      <c r="H85" s="18"/>
      <c r="I85" s="18"/>
      <c r="J85" s="18"/>
      <c r="K85" s="23"/>
      <c r="L85" s="23"/>
    </row>
    <row r="86" spans="1:12" ht="15.75" thickBot="1" x14ac:dyDescent="0.3">
      <c r="A86" s="627" t="s">
        <v>85</v>
      </c>
      <c r="B86" s="628"/>
      <c r="C86" s="628"/>
      <c r="D86" s="628"/>
      <c r="E86" s="628"/>
      <c r="F86" s="628"/>
      <c r="G86" s="628"/>
      <c r="H86" s="757">
        <f>SUM(H84+H74+E67+H46+E37+E12)</f>
        <v>5047.8099814767111</v>
      </c>
      <c r="I86" s="758"/>
      <c r="J86" s="759"/>
    </row>
    <row r="87" spans="1:12" ht="15.75" thickBot="1" x14ac:dyDescent="0.3">
      <c r="H87" s="126">
        <v>3306.12</v>
      </c>
      <c r="I87" s="126"/>
      <c r="J87" s="126"/>
    </row>
  </sheetData>
  <mergeCells count="230">
    <mergeCell ref="A1:J1"/>
    <mergeCell ref="A46:G46"/>
    <mergeCell ref="A74:G74"/>
    <mergeCell ref="A84:G8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L86"/>
  <sheetViews>
    <sheetView view="pageLayout" topLeftCell="A7" zoomScaleNormal="100" workbookViewId="0">
      <selection activeCell="E24" sqref="E24:G24"/>
    </sheetView>
  </sheetViews>
  <sheetFormatPr defaultRowHeight="15" x14ac:dyDescent="0.25"/>
  <cols>
    <col min="1" max="1" width="7.42578125" bestFit="1" customWidth="1"/>
    <col min="2" max="2" width="2" bestFit="1" customWidth="1"/>
    <col min="3" max="3" width="6.42578125" customWidth="1"/>
    <col min="4" max="4" width="39.140625" customWidth="1"/>
    <col min="5" max="5" width="3.7109375" customWidth="1"/>
    <col min="6" max="6" width="2.5703125" customWidth="1"/>
    <col min="7" max="7" width="4" customWidth="1"/>
    <col min="8" max="8" width="5.5703125" customWidth="1"/>
    <col min="9" max="9" width="3.28515625" customWidth="1"/>
    <col min="10" max="10" width="3.140625" customWidth="1"/>
  </cols>
  <sheetData>
    <row r="1" spans="1:12" x14ac:dyDescent="0.25">
      <c r="A1" s="805" t="s">
        <v>0</v>
      </c>
      <c r="B1" s="805"/>
      <c r="C1" s="805"/>
      <c r="D1" s="806" t="s">
        <v>162</v>
      </c>
      <c r="E1" s="807"/>
      <c r="F1" s="807"/>
      <c r="G1" s="807"/>
      <c r="H1" s="807"/>
      <c r="I1" s="807"/>
      <c r="J1" s="808"/>
      <c r="K1" s="23"/>
      <c r="L1" s="23"/>
    </row>
    <row r="2" spans="1:12" x14ac:dyDescent="0.25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"/>
      <c r="L2" s="23"/>
    </row>
    <row r="3" spans="1:12" x14ac:dyDescent="0.25">
      <c r="A3" s="809" t="s">
        <v>30</v>
      </c>
      <c r="B3" s="810"/>
      <c r="C3" s="810"/>
      <c r="D3" s="810"/>
      <c r="E3" s="810"/>
      <c r="F3" s="810"/>
      <c r="G3" s="810"/>
      <c r="H3" s="810"/>
      <c r="I3" s="810"/>
      <c r="J3" s="811"/>
      <c r="K3" s="23"/>
      <c r="L3" s="23"/>
    </row>
    <row r="4" spans="1:12" x14ac:dyDescent="0.25">
      <c r="A4" s="232" t="s">
        <v>31</v>
      </c>
      <c r="B4" s="232"/>
      <c r="C4" s="232"/>
      <c r="D4" s="232"/>
      <c r="E4" s="232"/>
      <c r="F4" s="232"/>
      <c r="G4" s="232"/>
      <c r="H4" s="232"/>
      <c r="I4" s="232"/>
      <c r="J4" s="232"/>
      <c r="K4" s="23"/>
      <c r="L4" s="23"/>
    </row>
    <row r="5" spans="1:12" x14ac:dyDescent="0.25">
      <c r="A5" s="20" t="s">
        <v>2</v>
      </c>
      <c r="B5" s="702" t="s">
        <v>1</v>
      </c>
      <c r="C5" s="703"/>
      <c r="D5" s="704"/>
      <c r="E5" s="812">
        <v>1137.23</v>
      </c>
      <c r="F5" s="232"/>
      <c r="G5" s="232"/>
      <c r="H5" s="232"/>
      <c r="I5" s="232"/>
      <c r="J5" s="232"/>
      <c r="K5" s="23"/>
      <c r="L5" s="23"/>
    </row>
    <row r="6" spans="1:12" x14ac:dyDescent="0.25">
      <c r="A6" s="20" t="s">
        <v>7</v>
      </c>
      <c r="B6" s="702" t="s">
        <v>25</v>
      </c>
      <c r="C6" s="703"/>
      <c r="D6" s="704"/>
      <c r="E6" s="816"/>
      <c r="F6" s="817"/>
      <c r="G6" s="817"/>
      <c r="H6" s="817"/>
      <c r="I6" s="817"/>
      <c r="J6" s="818"/>
      <c r="K6" s="23"/>
      <c r="L6" s="23"/>
    </row>
    <row r="7" spans="1:12" x14ac:dyDescent="0.25">
      <c r="A7" s="20" t="s">
        <v>8</v>
      </c>
      <c r="B7" s="702" t="s">
        <v>26</v>
      </c>
      <c r="C7" s="703"/>
      <c r="D7" s="704"/>
      <c r="E7" s="816"/>
      <c r="F7" s="817"/>
      <c r="G7" s="817"/>
      <c r="H7" s="817"/>
      <c r="I7" s="817"/>
      <c r="J7" s="818"/>
      <c r="K7" s="23"/>
      <c r="L7" s="23"/>
    </row>
    <row r="8" spans="1:12" x14ac:dyDescent="0.25">
      <c r="A8" s="20" t="s">
        <v>9</v>
      </c>
      <c r="B8" s="702" t="s">
        <v>27</v>
      </c>
      <c r="C8" s="703"/>
      <c r="D8" s="704"/>
      <c r="E8" s="816"/>
      <c r="F8" s="817"/>
      <c r="G8" s="817"/>
      <c r="H8" s="817"/>
      <c r="I8" s="817"/>
      <c r="J8" s="818"/>
      <c r="K8" s="23"/>
      <c r="L8" s="23"/>
    </row>
    <row r="9" spans="1:12" x14ac:dyDescent="0.25">
      <c r="A9" s="20" t="s">
        <v>10</v>
      </c>
      <c r="B9" s="702" t="s">
        <v>28</v>
      </c>
      <c r="C9" s="703"/>
      <c r="D9" s="704"/>
      <c r="E9" s="341"/>
      <c r="F9" s="341"/>
      <c r="G9" s="341"/>
      <c r="H9" s="341"/>
      <c r="I9" s="341"/>
      <c r="J9" s="341"/>
      <c r="K9" s="23"/>
      <c r="L9" s="23"/>
    </row>
    <row r="10" spans="1:12" ht="34.5" customHeight="1" x14ac:dyDescent="0.25">
      <c r="A10" s="41" t="s">
        <v>11</v>
      </c>
      <c r="B10" s="813" t="s">
        <v>92</v>
      </c>
      <c r="C10" s="814"/>
      <c r="D10" s="815"/>
      <c r="E10" s="232"/>
      <c r="F10" s="232"/>
      <c r="G10" s="232"/>
      <c r="H10" s="232"/>
      <c r="I10" s="232"/>
      <c r="J10" s="232"/>
      <c r="K10" s="23"/>
      <c r="L10" s="23"/>
    </row>
    <row r="11" spans="1:12" x14ac:dyDescent="0.25">
      <c r="A11" s="336" t="s">
        <v>38</v>
      </c>
      <c r="B11" s="336"/>
      <c r="C11" s="336"/>
      <c r="D11" s="336"/>
      <c r="E11" s="340">
        <f>SUM(E5:J10)</f>
        <v>1137.23</v>
      </c>
      <c r="F11" s="340"/>
      <c r="G11" s="340"/>
      <c r="H11" s="340"/>
      <c r="I11" s="340"/>
      <c r="J11" s="340"/>
      <c r="K11" s="23"/>
      <c r="L11" s="23"/>
    </row>
    <row r="12" spans="1:12" ht="32.25" customHeight="1" x14ac:dyDescent="0.25">
      <c r="A12" s="258" t="s">
        <v>29</v>
      </c>
      <c r="B12" s="259"/>
      <c r="C12" s="259"/>
      <c r="D12" s="260"/>
      <c r="E12" s="261">
        <f>E11*E29</f>
        <v>418.50064000000009</v>
      </c>
      <c r="F12" s="262"/>
      <c r="G12" s="262"/>
      <c r="H12" s="262"/>
      <c r="I12" s="262"/>
      <c r="J12" s="263"/>
      <c r="K12" s="23"/>
      <c r="L12" s="23"/>
    </row>
    <row r="13" spans="1:12" ht="2.25" customHeight="1" x14ac:dyDescent="0.25">
      <c r="A13" s="232"/>
      <c r="B13" s="232"/>
      <c r="C13" s="232"/>
      <c r="D13" s="232"/>
      <c r="E13" s="232"/>
      <c r="F13" s="232"/>
      <c r="G13" s="232"/>
      <c r="H13" s="232"/>
      <c r="I13" s="232"/>
      <c r="J13" s="232"/>
      <c r="K13" s="23"/>
      <c r="L13" s="23"/>
    </row>
    <row r="14" spans="1:12" x14ac:dyDescent="0.25">
      <c r="A14" s="276" t="s">
        <v>32</v>
      </c>
      <c r="B14" s="276"/>
      <c r="C14" s="276"/>
      <c r="D14" s="276"/>
      <c r="E14" s="276"/>
      <c r="F14" s="276"/>
      <c r="G14" s="276"/>
      <c r="H14" s="276"/>
      <c r="I14" s="276"/>
      <c r="J14" s="276"/>
      <c r="K14" s="23"/>
      <c r="L14" s="23"/>
    </row>
    <row r="15" spans="1:12" x14ac:dyDescent="0.25">
      <c r="A15" s="277" t="s">
        <v>130</v>
      </c>
      <c r="B15" s="277"/>
      <c r="C15" s="277"/>
      <c r="D15" s="277"/>
      <c r="E15" s="277"/>
      <c r="F15" s="277"/>
      <c r="G15" s="277"/>
      <c r="H15" s="277"/>
      <c r="I15" s="277"/>
      <c r="J15" s="277"/>
      <c r="K15" s="23"/>
      <c r="L15" s="23"/>
    </row>
    <row r="16" spans="1:12" x14ac:dyDescent="0.25">
      <c r="A16" s="20" t="s">
        <v>2</v>
      </c>
      <c r="B16" s="265" t="s">
        <v>34</v>
      </c>
      <c r="C16" s="266"/>
      <c r="D16" s="267"/>
      <c r="E16" s="278">
        <v>8.3299999999999999E-2</v>
      </c>
      <c r="F16" s="279"/>
      <c r="G16" s="280"/>
      <c r="H16" s="271">
        <f>E16*E11</f>
        <v>94.731258999999994</v>
      </c>
      <c r="I16" s="271"/>
      <c r="J16" s="271"/>
      <c r="K16" s="23"/>
      <c r="L16" s="23"/>
    </row>
    <row r="17" spans="1:12" x14ac:dyDescent="0.25">
      <c r="A17" s="20" t="s">
        <v>7</v>
      </c>
      <c r="B17" s="265" t="s">
        <v>35</v>
      </c>
      <c r="C17" s="266"/>
      <c r="D17" s="267"/>
      <c r="E17" s="268">
        <v>0.121</v>
      </c>
      <c r="F17" s="269"/>
      <c r="G17" s="270"/>
      <c r="H17" s="271">
        <f>E17*E11</f>
        <v>137.60482999999999</v>
      </c>
      <c r="I17" s="271"/>
      <c r="J17" s="271"/>
      <c r="K17" s="23"/>
      <c r="L17" s="23"/>
    </row>
    <row r="18" spans="1:12" x14ac:dyDescent="0.25">
      <c r="A18" s="272" t="s">
        <v>36</v>
      </c>
      <c r="B18" s="273"/>
      <c r="C18" s="273"/>
      <c r="D18" s="273"/>
      <c r="E18" s="273"/>
      <c r="F18" s="273"/>
      <c r="G18" s="274"/>
      <c r="H18" s="275">
        <f>SUM(H16:J17)</f>
        <v>232.33608899999999</v>
      </c>
      <c r="I18" s="275"/>
      <c r="J18" s="275"/>
      <c r="K18" s="23"/>
      <c r="L18" s="23"/>
    </row>
    <row r="19" spans="1:12" ht="34.5" customHeight="1" x14ac:dyDescent="0.25">
      <c r="A19" s="21" t="s">
        <v>8</v>
      </c>
      <c r="B19" s="284" t="s">
        <v>37</v>
      </c>
      <c r="C19" s="285"/>
      <c r="D19" s="286"/>
      <c r="E19" s="287">
        <v>7.8200000000000006E-2</v>
      </c>
      <c r="F19" s="288"/>
      <c r="G19" s="289"/>
      <c r="H19" s="290">
        <f>E11*E19</f>
        <v>88.931386000000003</v>
      </c>
      <c r="I19" s="291"/>
      <c r="J19" s="292"/>
      <c r="K19" s="23"/>
      <c r="L19" s="23"/>
    </row>
    <row r="20" spans="1:12" x14ac:dyDescent="0.25">
      <c r="A20" s="821" t="s">
        <v>45</v>
      </c>
      <c r="B20" s="822"/>
      <c r="C20" s="822"/>
      <c r="D20" s="822"/>
      <c r="E20" s="822"/>
      <c r="F20" s="822"/>
      <c r="G20" s="822"/>
      <c r="H20" s="822"/>
      <c r="I20" s="822"/>
      <c r="J20" s="823"/>
      <c r="K20" s="23"/>
      <c r="L20" s="23"/>
    </row>
    <row r="21" spans="1:12" x14ac:dyDescent="0.25">
      <c r="A21" s="265" t="s">
        <v>2</v>
      </c>
      <c r="B21" s="267"/>
      <c r="C21" s="676" t="s">
        <v>3</v>
      </c>
      <c r="D21" s="677"/>
      <c r="E21" s="678">
        <v>0.2</v>
      </c>
      <c r="F21" s="678"/>
      <c r="G21" s="678"/>
      <c r="H21" s="271">
        <f>E21*(E11+H18)</f>
        <v>273.91321779999998</v>
      </c>
      <c r="I21" s="271"/>
      <c r="J21" s="271"/>
      <c r="K21" s="23"/>
      <c r="L21" s="23"/>
    </row>
    <row r="22" spans="1:12" x14ac:dyDescent="0.25">
      <c r="A22" s="265" t="s">
        <v>7</v>
      </c>
      <c r="B22" s="267"/>
      <c r="C22" s="265" t="s">
        <v>41</v>
      </c>
      <c r="D22" s="267"/>
      <c r="E22" s="672">
        <v>2.5000000000000001E-2</v>
      </c>
      <c r="F22" s="672"/>
      <c r="G22" s="672"/>
      <c r="H22" s="271">
        <f>E22*(E11+H18)</f>
        <v>34.239152224999998</v>
      </c>
      <c r="I22" s="271"/>
      <c r="J22" s="271"/>
      <c r="K22" s="23"/>
      <c r="L22" s="23"/>
    </row>
    <row r="23" spans="1:12" x14ac:dyDescent="0.25">
      <c r="A23" s="265" t="s">
        <v>8</v>
      </c>
      <c r="B23" s="267"/>
      <c r="C23" s="819" t="s">
        <v>42</v>
      </c>
      <c r="D23" s="820"/>
      <c r="E23" s="686">
        <v>0.03</v>
      </c>
      <c r="F23" s="686"/>
      <c r="G23" s="686"/>
      <c r="H23" s="271">
        <f>E23*(E11+H18)</f>
        <v>41.086982669999998</v>
      </c>
      <c r="I23" s="271"/>
      <c r="J23" s="271"/>
      <c r="K23" s="23"/>
      <c r="L23" s="23"/>
    </row>
    <row r="24" spans="1:12" x14ac:dyDescent="0.25">
      <c r="A24" s="265" t="s">
        <v>9</v>
      </c>
      <c r="B24" s="267"/>
      <c r="C24" s="265" t="s">
        <v>43</v>
      </c>
      <c r="D24" s="267"/>
      <c r="E24" s="672">
        <v>1.4999999999999999E-2</v>
      </c>
      <c r="F24" s="672"/>
      <c r="G24" s="672"/>
      <c r="H24" s="271">
        <f>E24*(E11+H18)</f>
        <v>20.543491334999999</v>
      </c>
      <c r="I24" s="271"/>
      <c r="J24" s="271"/>
      <c r="K24" s="23"/>
      <c r="L24" s="23"/>
    </row>
    <row r="25" spans="1:12" x14ac:dyDescent="0.25">
      <c r="A25" s="265" t="s">
        <v>10</v>
      </c>
      <c r="B25" s="267"/>
      <c r="C25" s="265" t="s">
        <v>44</v>
      </c>
      <c r="D25" s="267"/>
      <c r="E25" s="672">
        <v>0.01</v>
      </c>
      <c r="F25" s="672"/>
      <c r="G25" s="672"/>
      <c r="H25" s="271">
        <f>E25*(E11+H18)</f>
        <v>13.695660889999999</v>
      </c>
      <c r="I25" s="271"/>
      <c r="J25" s="271"/>
      <c r="K25" s="23"/>
      <c r="L25" s="23"/>
    </row>
    <row r="26" spans="1:12" x14ac:dyDescent="0.25">
      <c r="A26" s="265" t="s">
        <v>11</v>
      </c>
      <c r="B26" s="267"/>
      <c r="C26" s="265" t="s">
        <v>6</v>
      </c>
      <c r="D26" s="267"/>
      <c r="E26" s="672">
        <v>6.0000000000000001E-3</v>
      </c>
      <c r="F26" s="672"/>
      <c r="G26" s="672"/>
      <c r="H26" s="271">
        <f>E26*(E11+H18)</f>
        <v>8.2173965339999988</v>
      </c>
      <c r="I26" s="271"/>
      <c r="J26" s="271"/>
      <c r="K26" s="23"/>
      <c r="L26" s="23"/>
    </row>
    <row r="27" spans="1:12" x14ac:dyDescent="0.25">
      <c r="A27" s="265" t="s">
        <v>39</v>
      </c>
      <c r="B27" s="267"/>
      <c r="C27" s="265" t="s">
        <v>5</v>
      </c>
      <c r="D27" s="267"/>
      <c r="E27" s="672">
        <v>2E-3</v>
      </c>
      <c r="F27" s="672"/>
      <c r="G27" s="672"/>
      <c r="H27" s="271">
        <f>E27*(E11+H18)</f>
        <v>2.7391321779999998</v>
      </c>
      <c r="I27" s="271"/>
      <c r="J27" s="271"/>
      <c r="K27" s="23"/>
      <c r="L27" s="23"/>
    </row>
    <row r="28" spans="1:12" x14ac:dyDescent="0.25">
      <c r="A28" s="679" t="s">
        <v>40</v>
      </c>
      <c r="B28" s="680"/>
      <c r="C28" s="265" t="s">
        <v>4</v>
      </c>
      <c r="D28" s="266"/>
      <c r="E28" s="681">
        <v>0.08</v>
      </c>
      <c r="F28" s="682"/>
      <c r="G28" s="683"/>
      <c r="H28" s="271">
        <f>E28*(E11+H18)</f>
        <v>109.56528711999999</v>
      </c>
      <c r="I28" s="271"/>
      <c r="J28" s="271"/>
      <c r="K28" s="23"/>
      <c r="L28" s="23"/>
    </row>
    <row r="29" spans="1:12" x14ac:dyDescent="0.25">
      <c r="A29" s="336" t="s">
        <v>36</v>
      </c>
      <c r="B29" s="336"/>
      <c r="C29" s="336"/>
      <c r="D29" s="336"/>
      <c r="E29" s="337">
        <f>SUM(E21:G28)</f>
        <v>0.36800000000000005</v>
      </c>
      <c r="F29" s="338"/>
      <c r="G29" s="339"/>
      <c r="H29" s="340">
        <f>SUM(H21:J28)</f>
        <v>504.00032075199994</v>
      </c>
      <c r="I29" s="340"/>
      <c r="J29" s="340"/>
      <c r="K29" s="23"/>
      <c r="L29" s="23"/>
    </row>
    <row r="30" spans="1:12" x14ac:dyDescent="0.25">
      <c r="A30" s="277" t="s">
        <v>48</v>
      </c>
      <c r="B30" s="277"/>
      <c r="C30" s="277"/>
      <c r="D30" s="277"/>
      <c r="E30" s="277"/>
      <c r="F30" s="277"/>
      <c r="G30" s="277"/>
      <c r="H30" s="277"/>
      <c r="I30" s="277"/>
      <c r="J30" s="277"/>
      <c r="K30" s="23"/>
      <c r="L30" s="23"/>
    </row>
    <row r="31" spans="1:12" x14ac:dyDescent="0.25">
      <c r="A31" s="265" t="s">
        <v>2</v>
      </c>
      <c r="B31" s="267"/>
      <c r="C31" s="676" t="s">
        <v>46</v>
      </c>
      <c r="D31" s="677"/>
      <c r="E31" s="678"/>
      <c r="F31" s="678"/>
      <c r="G31" s="678"/>
      <c r="H31" s="271">
        <f>(3.9*2*25.5)-6%*E5</f>
        <v>130.6662</v>
      </c>
      <c r="I31" s="271"/>
      <c r="J31" s="271"/>
      <c r="K31" s="23"/>
      <c r="L31" s="23"/>
    </row>
    <row r="32" spans="1:12" x14ac:dyDescent="0.25">
      <c r="A32" s="265" t="s">
        <v>7</v>
      </c>
      <c r="B32" s="267"/>
      <c r="C32" s="265" t="s">
        <v>47</v>
      </c>
      <c r="D32" s="267"/>
      <c r="E32" s="672"/>
      <c r="F32" s="672"/>
      <c r="G32" s="672"/>
      <c r="H32" s="271">
        <f>(21.63*25.5)-20%</f>
        <v>551.3649999999999</v>
      </c>
      <c r="I32" s="271"/>
      <c r="J32" s="271"/>
      <c r="K32" s="23"/>
      <c r="L32" s="23"/>
    </row>
    <row r="33" spans="1:12" x14ac:dyDescent="0.25">
      <c r="A33" s="265" t="s">
        <v>8</v>
      </c>
      <c r="B33" s="267"/>
      <c r="C33" s="284" t="s">
        <v>49</v>
      </c>
      <c r="D33" s="286"/>
      <c r="E33" s="672"/>
      <c r="F33" s="672"/>
      <c r="G33" s="672"/>
      <c r="H33" s="271">
        <v>36.57</v>
      </c>
      <c r="I33" s="271"/>
      <c r="J33" s="271"/>
      <c r="K33" s="23"/>
      <c r="L33" s="23"/>
    </row>
    <row r="34" spans="1:12" x14ac:dyDescent="0.25">
      <c r="A34" s="265" t="s">
        <v>9</v>
      </c>
      <c r="B34" s="267"/>
      <c r="C34" s="342" t="s">
        <v>28</v>
      </c>
      <c r="D34" s="343"/>
      <c r="E34" s="672"/>
      <c r="F34" s="672"/>
      <c r="G34" s="672"/>
      <c r="H34" s="271">
        <v>25.95</v>
      </c>
      <c r="I34" s="271"/>
      <c r="J34" s="271"/>
      <c r="K34" s="23"/>
      <c r="L34" s="23"/>
    </row>
    <row r="35" spans="1:12" x14ac:dyDescent="0.25">
      <c r="A35" s="824" t="s">
        <v>38</v>
      </c>
      <c r="B35" s="825"/>
      <c r="C35" s="825"/>
      <c r="D35" s="825"/>
      <c r="E35" s="825"/>
      <c r="F35" s="825"/>
      <c r="G35" s="826"/>
      <c r="H35" s="340">
        <f>SUM(H31:J34)</f>
        <v>744.55119999999999</v>
      </c>
      <c r="I35" s="340"/>
      <c r="J35" s="340"/>
      <c r="K35" s="23"/>
      <c r="L35" s="23"/>
    </row>
    <row r="36" spans="1:12" x14ac:dyDescent="0.25">
      <c r="A36" s="325" t="s">
        <v>72</v>
      </c>
      <c r="B36" s="325"/>
      <c r="C36" s="325"/>
      <c r="D36" s="325"/>
      <c r="E36" s="326">
        <f>H18+H29+H35</f>
        <v>1480.8876097519999</v>
      </c>
      <c r="F36" s="327"/>
      <c r="G36" s="327"/>
      <c r="H36" s="327"/>
      <c r="I36" s="327"/>
      <c r="J36" s="327"/>
      <c r="K36" s="23"/>
      <c r="L36" s="23"/>
    </row>
    <row r="37" spans="1:12" ht="3.75" customHeight="1" x14ac:dyDescent="0.25">
      <c r="A37" s="328"/>
      <c r="B37" s="329"/>
      <c r="C37" s="329"/>
      <c r="D37" s="329"/>
      <c r="E37" s="329"/>
      <c r="F37" s="329"/>
      <c r="G37" s="329"/>
      <c r="H37" s="329"/>
      <c r="I37" s="329"/>
      <c r="J37" s="330"/>
      <c r="K37" s="23"/>
      <c r="L37" s="23"/>
    </row>
    <row r="38" spans="1:12" x14ac:dyDescent="0.25">
      <c r="A38" s="276" t="s">
        <v>129</v>
      </c>
      <c r="B38" s="276"/>
      <c r="C38" s="276"/>
      <c r="D38" s="276"/>
      <c r="E38" s="276"/>
      <c r="F38" s="276"/>
      <c r="G38" s="276"/>
      <c r="H38" s="276"/>
      <c r="I38" s="276"/>
      <c r="J38" s="276"/>
      <c r="K38" s="23"/>
      <c r="L38" s="23"/>
    </row>
    <row r="39" spans="1:12" x14ac:dyDescent="0.25">
      <c r="A39" s="314" t="s">
        <v>2</v>
      </c>
      <c r="B39" s="315"/>
      <c r="C39" s="314" t="s">
        <v>51</v>
      </c>
      <c r="D39" s="315"/>
      <c r="E39" s="49"/>
      <c r="F39" s="51"/>
      <c r="G39" s="50"/>
      <c r="H39" s="316">
        <f>E11/12*5%</f>
        <v>4.738458333333333</v>
      </c>
      <c r="I39" s="317"/>
      <c r="J39" s="315"/>
      <c r="K39" s="23"/>
      <c r="L39" s="23"/>
    </row>
    <row r="40" spans="1:12" x14ac:dyDescent="0.25">
      <c r="A40" s="314" t="s">
        <v>7</v>
      </c>
      <c r="B40" s="315"/>
      <c r="C40" s="314" t="s">
        <v>52</v>
      </c>
      <c r="D40" s="315"/>
      <c r="E40" s="49"/>
      <c r="F40" s="51"/>
      <c r="G40" s="50"/>
      <c r="H40" s="316">
        <f>H39*8%</f>
        <v>0.37907666666666667</v>
      </c>
      <c r="I40" s="317"/>
      <c r="J40" s="315"/>
      <c r="K40" s="23"/>
      <c r="L40" s="23"/>
    </row>
    <row r="41" spans="1:12" ht="30.75" customHeight="1" x14ac:dyDescent="0.25">
      <c r="A41" s="318" t="s">
        <v>8</v>
      </c>
      <c r="B41" s="319"/>
      <c r="C41" s="320" t="s">
        <v>53</v>
      </c>
      <c r="D41" s="321"/>
      <c r="E41" s="322"/>
      <c r="F41" s="323"/>
      <c r="G41" s="324"/>
      <c r="H41" s="271">
        <f>E41*E11</f>
        <v>0</v>
      </c>
      <c r="I41" s="271"/>
      <c r="J41" s="271"/>
      <c r="K41" s="23"/>
      <c r="L41" s="23"/>
    </row>
    <row r="42" spans="1:12" x14ac:dyDescent="0.25">
      <c r="A42" s="232" t="s">
        <v>9</v>
      </c>
      <c r="B42" s="232"/>
      <c r="C42" s="265" t="s">
        <v>54</v>
      </c>
      <c r="D42" s="267"/>
      <c r="E42" s="341"/>
      <c r="F42" s="341"/>
      <c r="G42" s="341"/>
      <c r="H42" s="271">
        <f>E11/30/12*7*100%</f>
        <v>22.112805555555553</v>
      </c>
      <c r="I42" s="271"/>
      <c r="J42" s="271"/>
      <c r="K42" s="23"/>
      <c r="L42" s="23"/>
    </row>
    <row r="43" spans="1:12" ht="30.75" customHeight="1" x14ac:dyDescent="0.25">
      <c r="A43" s="232" t="s">
        <v>10</v>
      </c>
      <c r="B43" s="232"/>
      <c r="C43" s="342" t="s">
        <v>83</v>
      </c>
      <c r="D43" s="343"/>
      <c r="E43" s="341"/>
      <c r="F43" s="341"/>
      <c r="G43" s="341"/>
      <c r="H43" s="271">
        <f>H42*39.8%</f>
        <v>8.80089661111111</v>
      </c>
      <c r="I43" s="271"/>
      <c r="J43" s="271"/>
      <c r="K43" s="23"/>
      <c r="L43" s="23"/>
    </row>
    <row r="44" spans="1:12" ht="30.75" customHeight="1" x14ac:dyDescent="0.25">
      <c r="A44" s="265" t="s">
        <v>11</v>
      </c>
      <c r="B44" s="267"/>
      <c r="C44" s="342" t="s">
        <v>53</v>
      </c>
      <c r="D44" s="343"/>
      <c r="E44" s="268"/>
      <c r="F44" s="269"/>
      <c r="G44" s="270"/>
      <c r="H44" s="333">
        <f>E11*5%</f>
        <v>56.861500000000007</v>
      </c>
      <c r="I44" s="334"/>
      <c r="J44" s="335"/>
      <c r="K44" s="23"/>
      <c r="L44" s="23"/>
    </row>
    <row r="45" spans="1:12" x14ac:dyDescent="0.25">
      <c r="A45" s="336" t="s">
        <v>36</v>
      </c>
      <c r="B45" s="336"/>
      <c r="C45" s="336"/>
      <c r="D45" s="336"/>
      <c r="E45" s="337"/>
      <c r="F45" s="338"/>
      <c r="G45" s="339"/>
      <c r="H45" s="340">
        <f>SUM(H39:J44)</f>
        <v>92.892737166666677</v>
      </c>
      <c r="I45" s="340"/>
      <c r="J45" s="340"/>
      <c r="K45" s="23"/>
      <c r="L45" s="23"/>
    </row>
    <row r="46" spans="1:12" ht="4.5" customHeight="1" x14ac:dyDescent="0.25">
      <c r="E46" s="17"/>
      <c r="F46" s="17"/>
      <c r="G46" s="17"/>
      <c r="H46" s="18"/>
      <c r="I46" s="18"/>
      <c r="J46" s="18"/>
      <c r="K46" s="23"/>
      <c r="L46" s="23"/>
    </row>
    <row r="47" spans="1:12" x14ac:dyDescent="0.25">
      <c r="A47" s="276" t="s">
        <v>128</v>
      </c>
      <c r="B47" s="276"/>
      <c r="C47" s="276"/>
      <c r="D47" s="276"/>
      <c r="E47" s="276"/>
      <c r="F47" s="276"/>
      <c r="G47" s="276"/>
      <c r="H47" s="276"/>
      <c r="I47" s="276"/>
      <c r="J47" s="276"/>
      <c r="K47" s="23"/>
      <c r="L47" s="23"/>
    </row>
    <row r="48" spans="1:12" x14ac:dyDescent="0.25">
      <c r="A48" s="314" t="s">
        <v>2</v>
      </c>
      <c r="B48" s="315"/>
      <c r="C48" s="314" t="s">
        <v>56</v>
      </c>
      <c r="D48" s="315"/>
      <c r="E48" s="49"/>
      <c r="F48" s="51"/>
      <c r="G48" s="50"/>
      <c r="H48" s="316">
        <f>E19/12*5%</f>
        <v>3.2583333333333336E-4</v>
      </c>
      <c r="I48" s="317"/>
      <c r="J48" s="315"/>
      <c r="K48" s="23"/>
      <c r="L48" s="23"/>
    </row>
    <row r="49" spans="1:12" x14ac:dyDescent="0.25">
      <c r="A49" s="314" t="s">
        <v>7</v>
      </c>
      <c r="B49" s="315"/>
      <c r="C49" s="314" t="s">
        <v>57</v>
      </c>
      <c r="D49" s="315"/>
      <c r="E49" s="49"/>
      <c r="F49" s="51"/>
      <c r="G49" s="50"/>
      <c r="H49" s="316">
        <f>E11/30/12</f>
        <v>3.1589722222222218</v>
      </c>
      <c r="I49" s="317"/>
      <c r="J49" s="315"/>
      <c r="K49" s="23"/>
      <c r="L49" s="23"/>
    </row>
    <row r="50" spans="1:12" x14ac:dyDescent="0.25">
      <c r="A50" s="318" t="s">
        <v>8</v>
      </c>
      <c r="B50" s="319"/>
      <c r="C50" s="320" t="s">
        <v>58</v>
      </c>
      <c r="D50" s="321"/>
      <c r="E50" s="322"/>
      <c r="F50" s="323"/>
      <c r="G50" s="324"/>
      <c r="H50" s="271">
        <f>E11/30/12*5*1.5%</f>
        <v>0.23692291666666662</v>
      </c>
      <c r="I50" s="271"/>
      <c r="J50" s="271"/>
      <c r="K50" s="23"/>
      <c r="L50" s="23"/>
    </row>
    <row r="51" spans="1:12" ht="31.5" customHeight="1" x14ac:dyDescent="0.25">
      <c r="A51" s="232" t="s">
        <v>9</v>
      </c>
      <c r="B51" s="232"/>
      <c r="C51" s="661" t="s">
        <v>59</v>
      </c>
      <c r="D51" s="662"/>
      <c r="E51" s="341"/>
      <c r="F51" s="341"/>
      <c r="G51" s="341"/>
      <c r="H51" s="271">
        <f>E11/30/12*15*8%</f>
        <v>3.790766666666666</v>
      </c>
      <c r="I51" s="271"/>
      <c r="J51" s="271"/>
      <c r="K51" s="23"/>
      <c r="L51" s="23"/>
    </row>
    <row r="52" spans="1:12" x14ac:dyDescent="0.25">
      <c r="A52" s="232" t="s">
        <v>10</v>
      </c>
      <c r="B52" s="232"/>
      <c r="C52" s="342" t="s">
        <v>60</v>
      </c>
      <c r="D52" s="343"/>
      <c r="E52" s="341"/>
      <c r="F52" s="341"/>
      <c r="G52" s="341"/>
      <c r="H52" s="271">
        <f>E19*5%</f>
        <v>3.9100000000000003E-3</v>
      </c>
      <c r="I52" s="271"/>
      <c r="J52" s="271"/>
      <c r="K52" s="23"/>
      <c r="L52" s="23"/>
    </row>
    <row r="53" spans="1:12" x14ac:dyDescent="0.25">
      <c r="A53" s="232" t="s">
        <v>11</v>
      </c>
      <c r="B53" s="232"/>
      <c r="C53" s="342" t="s">
        <v>61</v>
      </c>
      <c r="D53" s="343"/>
      <c r="E53" s="341"/>
      <c r="F53" s="341"/>
      <c r="G53" s="341"/>
      <c r="H53" s="271">
        <f>E11/30/12*5*40%</f>
        <v>6.3179444444444437</v>
      </c>
      <c r="I53" s="271"/>
      <c r="J53" s="271"/>
      <c r="K53" s="23"/>
      <c r="L53" s="23"/>
    </row>
    <row r="54" spans="1:12" ht="30" customHeight="1" x14ac:dyDescent="0.25">
      <c r="A54" s="232" t="s">
        <v>39</v>
      </c>
      <c r="B54" s="232"/>
      <c r="C54" s="342" t="s">
        <v>62</v>
      </c>
      <c r="D54" s="343"/>
      <c r="E54" s="341"/>
      <c r="F54" s="341"/>
      <c r="G54" s="341"/>
      <c r="H54" s="271">
        <f>SUM(H48:J53)*39.8%</f>
        <v>5.3765191491666648</v>
      </c>
      <c r="I54" s="271"/>
      <c r="J54" s="271"/>
      <c r="K54" s="23"/>
      <c r="L54" s="23"/>
    </row>
    <row r="55" spans="1:12" x14ac:dyDescent="0.25">
      <c r="A55" s="336" t="s">
        <v>36</v>
      </c>
      <c r="B55" s="336"/>
      <c r="C55" s="336"/>
      <c r="D55" s="336"/>
      <c r="E55" s="337"/>
      <c r="F55" s="338"/>
      <c r="G55" s="339"/>
      <c r="H55" s="340">
        <f>SUM(H48:J54)</f>
        <v>18.885361232499996</v>
      </c>
      <c r="I55" s="340"/>
      <c r="J55" s="340"/>
      <c r="K55" s="23"/>
      <c r="L55" s="23"/>
    </row>
    <row r="56" spans="1:12" x14ac:dyDescent="0.25">
      <c r="A56" s="346" t="s">
        <v>127</v>
      </c>
      <c r="B56" s="346"/>
      <c r="C56" s="346"/>
      <c r="D56" s="346"/>
      <c r="E56" s="346"/>
      <c r="F56" s="346"/>
      <c r="G56" s="346"/>
      <c r="H56" s="346"/>
      <c r="I56" s="346"/>
      <c r="J56" s="346"/>
      <c r="K56" s="23"/>
      <c r="L56" s="23"/>
    </row>
    <row r="57" spans="1:12" ht="32.25" customHeight="1" x14ac:dyDescent="0.25">
      <c r="A57" s="314" t="s">
        <v>2</v>
      </c>
      <c r="B57" s="315"/>
      <c r="C57" s="344" t="s">
        <v>64</v>
      </c>
      <c r="D57" s="345"/>
      <c r="E57" s="49"/>
      <c r="F57" s="51"/>
      <c r="G57" s="50"/>
      <c r="H57" s="316">
        <f>((((E11+(E11/3))*0.3333)/12)*2%)</f>
        <v>0.84230835333333332</v>
      </c>
      <c r="I57" s="317"/>
      <c r="J57" s="315"/>
      <c r="K57" s="23"/>
      <c r="L57" s="23"/>
    </row>
    <row r="58" spans="1:12" ht="31.5" customHeight="1" x14ac:dyDescent="0.25">
      <c r="A58" s="314" t="s">
        <v>7</v>
      </c>
      <c r="B58" s="315"/>
      <c r="C58" s="344" t="s">
        <v>65</v>
      </c>
      <c r="D58" s="345"/>
      <c r="E58" s="49"/>
      <c r="F58" s="51"/>
      <c r="G58" s="50"/>
      <c r="H58" s="316">
        <f>H57*39.8%</f>
        <v>0.33523872462666665</v>
      </c>
      <c r="I58" s="317"/>
      <c r="J58" s="315"/>
      <c r="K58" s="23"/>
      <c r="L58" s="23"/>
    </row>
    <row r="59" spans="1:12" ht="30" customHeight="1" x14ac:dyDescent="0.25">
      <c r="A59" s="318" t="s">
        <v>8</v>
      </c>
      <c r="B59" s="319"/>
      <c r="C59" s="344" t="s">
        <v>66</v>
      </c>
      <c r="D59" s="345"/>
      <c r="E59" s="322"/>
      <c r="F59" s="323"/>
      <c r="G59" s="324"/>
      <c r="H59" s="271">
        <f>(((E11+H16)*0.333)*2%)*39.8%</f>
        <v>3.2655350700061194</v>
      </c>
      <c r="I59" s="271"/>
      <c r="J59" s="271"/>
      <c r="K59" s="23"/>
      <c r="L59" s="23"/>
    </row>
    <row r="60" spans="1:12" x14ac:dyDescent="0.25">
      <c r="A60" s="232" t="s">
        <v>9</v>
      </c>
      <c r="B60" s="232"/>
      <c r="C60" s="265" t="s">
        <v>67</v>
      </c>
      <c r="D60" s="267"/>
      <c r="E60" s="341"/>
      <c r="F60" s="341"/>
      <c r="G60" s="341"/>
      <c r="H60" s="271"/>
      <c r="I60" s="271"/>
      <c r="J60" s="271"/>
      <c r="K60" s="23"/>
      <c r="L60" s="23"/>
    </row>
    <row r="61" spans="1:12" x14ac:dyDescent="0.25">
      <c r="A61" s="336" t="s">
        <v>36</v>
      </c>
      <c r="B61" s="336"/>
      <c r="C61" s="336"/>
      <c r="D61" s="336"/>
      <c r="E61" s="337"/>
      <c r="F61" s="338"/>
      <c r="G61" s="339"/>
      <c r="H61" s="340">
        <f>SUM(H57:J60)</f>
        <v>4.4430821479661198</v>
      </c>
      <c r="I61" s="340"/>
      <c r="J61" s="340"/>
      <c r="K61" s="23"/>
      <c r="L61" s="23"/>
    </row>
    <row r="62" spans="1:12" x14ac:dyDescent="0.25">
      <c r="A62" s="346" t="s">
        <v>126</v>
      </c>
      <c r="B62" s="346"/>
      <c r="C62" s="346"/>
      <c r="D62" s="346"/>
      <c r="E62" s="346"/>
      <c r="F62" s="346"/>
      <c r="G62" s="346"/>
      <c r="H62" s="346"/>
      <c r="I62" s="346"/>
      <c r="J62" s="346"/>
      <c r="K62" s="23"/>
      <c r="L62" s="23"/>
    </row>
    <row r="63" spans="1:12" ht="33" customHeight="1" x14ac:dyDescent="0.25">
      <c r="A63" s="314" t="s">
        <v>2</v>
      </c>
      <c r="B63" s="315"/>
      <c r="C63" s="344" t="s">
        <v>69</v>
      </c>
      <c r="D63" s="345"/>
      <c r="E63" s="49"/>
      <c r="F63" s="51"/>
      <c r="G63" s="50"/>
      <c r="H63" s="316">
        <f>((((E17+(E17/3))*0.3333)/12)*2%)</f>
        <v>8.9620666666666654E-5</v>
      </c>
      <c r="I63" s="317"/>
      <c r="J63" s="315"/>
      <c r="K63" s="23"/>
      <c r="L63" s="23"/>
    </row>
    <row r="64" spans="1:12" ht="29.25" customHeight="1" x14ac:dyDescent="0.25">
      <c r="A64" s="314" t="s">
        <v>7</v>
      </c>
      <c r="B64" s="315"/>
      <c r="C64" s="344" t="s">
        <v>70</v>
      </c>
      <c r="D64" s="345"/>
      <c r="E64" s="49"/>
      <c r="F64" s="51"/>
      <c r="G64" s="50"/>
      <c r="H64" s="316">
        <f>H63*39.8%</f>
        <v>3.5669025333333325E-5</v>
      </c>
      <c r="I64" s="317"/>
      <c r="J64" s="315"/>
      <c r="K64" s="23"/>
      <c r="L64" s="23"/>
    </row>
    <row r="65" spans="1:12" x14ac:dyDescent="0.25">
      <c r="A65" s="336" t="s">
        <v>36</v>
      </c>
      <c r="B65" s="336"/>
      <c r="C65" s="336"/>
      <c r="D65" s="336"/>
      <c r="E65" s="337"/>
      <c r="F65" s="338"/>
      <c r="G65" s="339"/>
      <c r="H65" s="340">
        <f>SUM(H63:J64)</f>
        <v>1.2528969199999997E-4</v>
      </c>
      <c r="I65" s="340"/>
      <c r="J65" s="340"/>
      <c r="K65" s="23"/>
      <c r="L65" s="23"/>
    </row>
    <row r="66" spans="1:12" x14ac:dyDescent="0.25">
      <c r="A66" s="325" t="s">
        <v>71</v>
      </c>
      <c r="B66" s="325"/>
      <c r="C66" s="325"/>
      <c r="D66" s="325"/>
      <c r="E66" s="326">
        <f>H65+H61+H55</f>
        <v>23.328568670158116</v>
      </c>
      <c r="F66" s="327"/>
      <c r="G66" s="327"/>
      <c r="H66" s="327"/>
      <c r="I66" s="327"/>
      <c r="J66" s="327"/>
      <c r="K66" s="23"/>
      <c r="L66" s="23"/>
    </row>
    <row r="67" spans="1:12" ht="6.7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23"/>
    </row>
    <row r="68" spans="1:12" x14ac:dyDescent="0.25">
      <c r="A68" s="276" t="s">
        <v>73</v>
      </c>
      <c r="B68" s="276"/>
      <c r="C68" s="276"/>
      <c r="D68" s="276"/>
      <c r="E68" s="276"/>
      <c r="F68" s="276"/>
      <c r="G68" s="276"/>
      <c r="H68" s="276"/>
      <c r="I68" s="276"/>
      <c r="J68" s="276"/>
      <c r="K68" s="23"/>
      <c r="L68" s="23"/>
    </row>
    <row r="69" spans="1:12" x14ac:dyDescent="0.25">
      <c r="A69" s="314" t="s">
        <v>2</v>
      </c>
      <c r="B69" s="315"/>
      <c r="C69" s="314" t="s">
        <v>74</v>
      </c>
      <c r="D69" s="315"/>
      <c r="E69" s="314"/>
      <c r="F69" s="317"/>
      <c r="G69" s="315"/>
      <c r="H69" s="316">
        <v>300</v>
      </c>
      <c r="I69" s="317"/>
      <c r="J69" s="315"/>
      <c r="K69" s="23"/>
      <c r="L69" s="23"/>
    </row>
    <row r="70" spans="1:12" x14ac:dyDescent="0.25">
      <c r="A70" s="314" t="s">
        <v>7</v>
      </c>
      <c r="B70" s="315"/>
      <c r="C70" s="314" t="s">
        <v>75</v>
      </c>
      <c r="D70" s="315"/>
      <c r="E70" s="49"/>
      <c r="F70" s="51"/>
      <c r="G70" s="50"/>
      <c r="H70" s="316">
        <v>5</v>
      </c>
      <c r="I70" s="317"/>
      <c r="J70" s="315"/>
      <c r="K70" s="23"/>
      <c r="L70" s="23"/>
    </row>
    <row r="71" spans="1:12" x14ac:dyDescent="0.25">
      <c r="A71" s="318" t="s">
        <v>8</v>
      </c>
      <c r="B71" s="319"/>
      <c r="C71" s="320" t="s">
        <v>76</v>
      </c>
      <c r="D71" s="321"/>
      <c r="E71" s="322"/>
      <c r="F71" s="323"/>
      <c r="G71" s="324"/>
      <c r="H71" s="271">
        <v>43.5</v>
      </c>
      <c r="I71" s="271"/>
      <c r="J71" s="271"/>
      <c r="K71" s="23"/>
      <c r="L71" s="23"/>
    </row>
    <row r="72" spans="1:12" x14ac:dyDescent="0.25">
      <c r="A72" s="232" t="s">
        <v>9</v>
      </c>
      <c r="B72" s="232"/>
      <c r="C72" s="265" t="s">
        <v>28</v>
      </c>
      <c r="D72" s="267"/>
      <c r="E72" s="341"/>
      <c r="F72" s="341"/>
      <c r="G72" s="341"/>
      <c r="H72" s="271">
        <v>5</v>
      </c>
      <c r="I72" s="271"/>
      <c r="J72" s="271"/>
      <c r="K72" s="23"/>
      <c r="L72" s="23"/>
    </row>
    <row r="73" spans="1:12" x14ac:dyDescent="0.25">
      <c r="A73" s="336" t="s">
        <v>36</v>
      </c>
      <c r="B73" s="336"/>
      <c r="C73" s="336"/>
      <c r="D73" s="336"/>
      <c r="E73" s="337"/>
      <c r="F73" s="338"/>
      <c r="G73" s="339"/>
      <c r="H73" s="340">
        <f>SUM(H69:J72)</f>
        <v>353.5</v>
      </c>
      <c r="I73" s="340"/>
      <c r="J73" s="340"/>
      <c r="K73" s="23"/>
      <c r="L73" s="23"/>
    </row>
    <row r="74" spans="1:12" ht="4.5" customHeight="1" x14ac:dyDescent="0.25">
      <c r="E74" s="17"/>
      <c r="F74" s="17"/>
      <c r="G74" s="17"/>
      <c r="H74" s="18"/>
      <c r="I74" s="18"/>
      <c r="J74" s="18"/>
      <c r="K74" s="23"/>
      <c r="L74" s="23"/>
    </row>
    <row r="75" spans="1:12" x14ac:dyDescent="0.25">
      <c r="A75" s="276" t="s">
        <v>84</v>
      </c>
      <c r="B75" s="276"/>
      <c r="C75" s="276"/>
      <c r="D75" s="276"/>
      <c r="E75" s="276"/>
      <c r="F75" s="276"/>
      <c r="G75" s="276"/>
      <c r="H75" s="276"/>
      <c r="I75" s="276"/>
      <c r="J75" s="276"/>
      <c r="K75" s="23"/>
      <c r="L75" s="23"/>
    </row>
    <row r="76" spans="1:12" x14ac:dyDescent="0.25">
      <c r="A76" s="314" t="s">
        <v>2</v>
      </c>
      <c r="B76" s="315"/>
      <c r="C76" s="314" t="s">
        <v>77</v>
      </c>
      <c r="D76" s="315"/>
      <c r="E76" s="644">
        <v>7.0000000000000007E-2</v>
      </c>
      <c r="F76" s="317"/>
      <c r="G76" s="315"/>
      <c r="H76" s="316">
        <f>(H73+E66+H45+E36+E11)*E76</f>
        <v>216.14872409121773</v>
      </c>
      <c r="I76" s="317"/>
      <c r="J76" s="315"/>
      <c r="K76" s="23"/>
      <c r="L76" s="23"/>
    </row>
    <row r="77" spans="1:12" x14ac:dyDescent="0.25">
      <c r="A77" s="314" t="s">
        <v>7</v>
      </c>
      <c r="B77" s="315"/>
      <c r="C77" s="314" t="s">
        <v>12</v>
      </c>
      <c r="D77" s="315"/>
      <c r="E77" s="644">
        <v>7.5774185115783349E-2</v>
      </c>
      <c r="F77" s="317"/>
      <c r="G77" s="315"/>
      <c r="H77" s="316">
        <f>E77*(H73+E66+H45+E36+E11)</f>
        <v>233.97847759754728</v>
      </c>
      <c r="I77" s="317"/>
      <c r="J77" s="315"/>
      <c r="K77" s="23"/>
      <c r="L77" s="23"/>
    </row>
    <row r="78" spans="1:12" x14ac:dyDescent="0.25">
      <c r="A78" s="318" t="s">
        <v>8</v>
      </c>
      <c r="B78" s="319"/>
      <c r="C78" s="320" t="s">
        <v>78</v>
      </c>
      <c r="D78" s="321"/>
      <c r="E78" s="578">
        <v>0.85750000000000004</v>
      </c>
      <c r="F78" s="579"/>
      <c r="G78" s="580"/>
      <c r="H78" s="271">
        <f>(H73+E66+H45+E36+E11)/E78</f>
        <v>3600.9783272172876</v>
      </c>
      <c r="I78" s="271"/>
      <c r="J78" s="271"/>
      <c r="K78" s="23"/>
      <c r="L78" s="23"/>
    </row>
    <row r="79" spans="1:12" x14ac:dyDescent="0.25">
      <c r="A79" s="232" t="s">
        <v>9</v>
      </c>
      <c r="B79" s="232"/>
      <c r="C79" s="265" t="s">
        <v>79</v>
      </c>
      <c r="D79" s="267"/>
      <c r="E79" s="341">
        <v>1.6500000000000001E-2</v>
      </c>
      <c r="F79" s="341"/>
      <c r="G79" s="341"/>
      <c r="H79" s="271">
        <f>E79*H86</f>
        <v>54.550980000000003</v>
      </c>
      <c r="I79" s="271"/>
      <c r="J79" s="271"/>
      <c r="K79" s="23"/>
      <c r="L79" s="23"/>
    </row>
    <row r="80" spans="1:12" x14ac:dyDescent="0.25">
      <c r="A80" s="232" t="s">
        <v>9</v>
      </c>
      <c r="B80" s="232"/>
      <c r="C80" s="265" t="s">
        <v>80</v>
      </c>
      <c r="D80" s="267"/>
      <c r="E80" s="341">
        <v>7.5999999999999998E-2</v>
      </c>
      <c r="F80" s="341"/>
      <c r="G80" s="341"/>
      <c r="H80" s="271">
        <f>E80*H86</f>
        <v>251.26512</v>
      </c>
      <c r="I80" s="271"/>
      <c r="J80" s="271"/>
      <c r="K80" s="23"/>
      <c r="L80" s="23"/>
    </row>
    <row r="81" spans="1:12" x14ac:dyDescent="0.25">
      <c r="A81" s="232" t="s">
        <v>10</v>
      </c>
      <c r="B81" s="232"/>
      <c r="C81" s="265" t="s">
        <v>81</v>
      </c>
      <c r="D81" s="267"/>
      <c r="E81" s="341"/>
      <c r="F81" s="341"/>
      <c r="G81" s="341"/>
      <c r="H81" s="271"/>
      <c r="I81" s="271"/>
      <c r="J81" s="271"/>
      <c r="K81" s="23"/>
      <c r="L81" s="23"/>
    </row>
    <row r="82" spans="1:12" x14ac:dyDescent="0.25">
      <c r="A82" s="232" t="s">
        <v>11</v>
      </c>
      <c r="B82" s="232"/>
      <c r="C82" s="265" t="s">
        <v>82</v>
      </c>
      <c r="D82" s="267"/>
      <c r="E82" s="341">
        <v>0.05</v>
      </c>
      <c r="F82" s="341"/>
      <c r="G82" s="341"/>
      <c r="H82" s="271">
        <f>E82*H86</f>
        <v>165.30600000000001</v>
      </c>
      <c r="I82" s="271"/>
      <c r="J82" s="271"/>
      <c r="K82" s="23"/>
      <c r="L82" s="23"/>
    </row>
    <row r="83" spans="1:12" x14ac:dyDescent="0.25">
      <c r="A83" s="336" t="s">
        <v>36</v>
      </c>
      <c r="B83" s="336"/>
      <c r="C83" s="336"/>
      <c r="D83" s="336"/>
      <c r="E83" s="337"/>
      <c r="F83" s="338"/>
      <c r="G83" s="339"/>
      <c r="H83" s="340">
        <f>H76+H77+H79+H80+H82</f>
        <v>921.24930168876506</v>
      </c>
      <c r="I83" s="340"/>
      <c r="J83" s="340"/>
      <c r="K83" s="23"/>
      <c r="L83" s="23"/>
    </row>
    <row r="84" spans="1:12" ht="3.75" customHeight="1" x14ac:dyDescent="0.25">
      <c r="E84" s="17"/>
      <c r="F84" s="17"/>
      <c r="G84" s="17"/>
      <c r="H84" s="18"/>
      <c r="I84" s="18"/>
      <c r="J84" s="18"/>
      <c r="K84" s="23"/>
      <c r="L84" s="23"/>
    </row>
    <row r="85" spans="1:12" x14ac:dyDescent="0.25">
      <c r="A85" s="368" t="s">
        <v>85</v>
      </c>
      <c r="B85" s="368"/>
      <c r="C85" s="368"/>
      <c r="D85" s="368"/>
      <c r="E85" s="368"/>
      <c r="F85" s="368"/>
      <c r="G85" s="368"/>
      <c r="H85" s="271">
        <f>SUM(H83+H73+E66+H45+E36+E11)</f>
        <v>4009.0882172775896</v>
      </c>
      <c r="I85" s="271"/>
      <c r="J85" s="271"/>
    </row>
    <row r="86" spans="1:12" ht="15.75" thickBot="1" x14ac:dyDescent="0.3">
      <c r="H86" s="40">
        <v>3306.12</v>
      </c>
      <c r="I86" s="40"/>
      <c r="J86" s="40"/>
    </row>
  </sheetData>
  <mergeCells count="232">
    <mergeCell ref="A85:G85"/>
    <mergeCell ref="H85:J85"/>
    <mergeCell ref="A82:B82"/>
    <mergeCell ref="C82:D82"/>
    <mergeCell ref="E82:G82"/>
    <mergeCell ref="H82:J82"/>
    <mergeCell ref="A83:D83"/>
    <mergeCell ref="E83:G83"/>
    <mergeCell ref="H83:J83"/>
    <mergeCell ref="A80:B80"/>
    <mergeCell ref="C80:D80"/>
    <mergeCell ref="E80:G80"/>
    <mergeCell ref="H80:J80"/>
    <mergeCell ref="A81:B81"/>
    <mergeCell ref="C81:D81"/>
    <mergeCell ref="E81:G81"/>
    <mergeCell ref="H81:J81"/>
    <mergeCell ref="A78:B78"/>
    <mergeCell ref="C78:D78"/>
    <mergeCell ref="E78:G78"/>
    <mergeCell ref="H78:J78"/>
    <mergeCell ref="A79:B79"/>
    <mergeCell ref="C79:D79"/>
    <mergeCell ref="E79:G79"/>
    <mergeCell ref="H79:J79"/>
    <mergeCell ref="A75:J75"/>
    <mergeCell ref="A76:B76"/>
    <mergeCell ref="C76:D76"/>
    <mergeCell ref="E76:G76"/>
    <mergeCell ref="H76:J76"/>
    <mergeCell ref="A77:B77"/>
    <mergeCell ref="C77:D77"/>
    <mergeCell ref="E77:G77"/>
    <mergeCell ref="H77:J77"/>
    <mergeCell ref="A72:B72"/>
    <mergeCell ref="C72:D72"/>
    <mergeCell ref="E72:G72"/>
    <mergeCell ref="H72:J72"/>
    <mergeCell ref="A73:D73"/>
    <mergeCell ref="E73:G73"/>
    <mergeCell ref="H73:J73"/>
    <mergeCell ref="A70:B70"/>
    <mergeCell ref="C70:D70"/>
    <mergeCell ref="H70:J70"/>
    <mergeCell ref="A71:B71"/>
    <mergeCell ref="C71:D71"/>
    <mergeCell ref="E71:G71"/>
    <mergeCell ref="H71:J71"/>
    <mergeCell ref="A66:D66"/>
    <mergeCell ref="E66:J66"/>
    <mergeCell ref="A68:J68"/>
    <mergeCell ref="A69:B69"/>
    <mergeCell ref="C69:D69"/>
    <mergeCell ref="E69:G69"/>
    <mergeCell ref="H69:J69"/>
    <mergeCell ref="A64:B64"/>
    <mergeCell ref="C64:D64"/>
    <mergeCell ref="H64:J64"/>
    <mergeCell ref="A65:D65"/>
    <mergeCell ref="E65:G65"/>
    <mergeCell ref="H65:J65"/>
    <mergeCell ref="A61:D61"/>
    <mergeCell ref="E61:G61"/>
    <mergeCell ref="H61:J61"/>
    <mergeCell ref="A62:J62"/>
    <mergeCell ref="A63:B63"/>
    <mergeCell ref="C63:D63"/>
    <mergeCell ref="H63:J63"/>
    <mergeCell ref="A59:B59"/>
    <mergeCell ref="C59:D59"/>
    <mergeCell ref="E59:G59"/>
    <mergeCell ref="H59:J59"/>
    <mergeCell ref="A60:B60"/>
    <mergeCell ref="C60:D60"/>
    <mergeCell ref="E60:G60"/>
    <mergeCell ref="H60:J60"/>
    <mergeCell ref="A56:J56"/>
    <mergeCell ref="A57:B57"/>
    <mergeCell ref="C57:D57"/>
    <mergeCell ref="H57:J57"/>
    <mergeCell ref="A58:B58"/>
    <mergeCell ref="C58:D58"/>
    <mergeCell ref="H58:J58"/>
    <mergeCell ref="A54:B54"/>
    <mergeCell ref="C54:D54"/>
    <mergeCell ref="E54:G54"/>
    <mergeCell ref="H54:J54"/>
    <mergeCell ref="A55:D55"/>
    <mergeCell ref="E55:G55"/>
    <mergeCell ref="H55:J55"/>
    <mergeCell ref="A52:B52"/>
    <mergeCell ref="C52:D52"/>
    <mergeCell ref="E52:G52"/>
    <mergeCell ref="H52:J52"/>
    <mergeCell ref="A53:B53"/>
    <mergeCell ref="C53:D53"/>
    <mergeCell ref="E53:G53"/>
    <mergeCell ref="H53:J53"/>
    <mergeCell ref="A50:B50"/>
    <mergeCell ref="C50:D50"/>
    <mergeCell ref="E50:G50"/>
    <mergeCell ref="H50:J50"/>
    <mergeCell ref="A51:B51"/>
    <mergeCell ref="C51:D51"/>
    <mergeCell ref="E51:G51"/>
    <mergeCell ref="H51:J51"/>
    <mergeCell ref="A47:J47"/>
    <mergeCell ref="A48:B48"/>
    <mergeCell ref="C48:D48"/>
    <mergeCell ref="H48:J48"/>
    <mergeCell ref="A49:B49"/>
    <mergeCell ref="C49:D49"/>
    <mergeCell ref="H49:J49"/>
    <mergeCell ref="A44:B44"/>
    <mergeCell ref="C44:D44"/>
    <mergeCell ref="E44:G44"/>
    <mergeCell ref="H44:J44"/>
    <mergeCell ref="A45:D45"/>
    <mergeCell ref="E45:G45"/>
    <mergeCell ref="H45:J45"/>
    <mergeCell ref="A42:B42"/>
    <mergeCell ref="C42:D42"/>
    <mergeCell ref="E42:G42"/>
    <mergeCell ref="H42:J42"/>
    <mergeCell ref="A43:B43"/>
    <mergeCell ref="C43:D43"/>
    <mergeCell ref="E43:G43"/>
    <mergeCell ref="H43:J43"/>
    <mergeCell ref="A40:B40"/>
    <mergeCell ref="C40:D40"/>
    <mergeCell ref="H40:J40"/>
    <mergeCell ref="A41:B41"/>
    <mergeCell ref="C41:D41"/>
    <mergeCell ref="E41:G41"/>
    <mergeCell ref="H41:J41"/>
    <mergeCell ref="A36:D36"/>
    <mergeCell ref="E36:J36"/>
    <mergeCell ref="A37:J37"/>
    <mergeCell ref="A38:J38"/>
    <mergeCell ref="A39:B39"/>
    <mergeCell ref="C39:D39"/>
    <mergeCell ref="H39:J39"/>
    <mergeCell ref="A34:B34"/>
    <mergeCell ref="C34:D34"/>
    <mergeCell ref="E34:G34"/>
    <mergeCell ref="H34:J34"/>
    <mergeCell ref="A35:G35"/>
    <mergeCell ref="H35:J35"/>
    <mergeCell ref="A32:B32"/>
    <mergeCell ref="C32:D32"/>
    <mergeCell ref="E32:G32"/>
    <mergeCell ref="H32:J32"/>
    <mergeCell ref="A33:B33"/>
    <mergeCell ref="C33:D33"/>
    <mergeCell ref="E33:G33"/>
    <mergeCell ref="H33:J33"/>
    <mergeCell ref="A29:D29"/>
    <mergeCell ref="E29:G29"/>
    <mergeCell ref="H29:J29"/>
    <mergeCell ref="A30:J30"/>
    <mergeCell ref="A31:B31"/>
    <mergeCell ref="C31:D31"/>
    <mergeCell ref="E31:G31"/>
    <mergeCell ref="H31:J31"/>
    <mergeCell ref="A27:B27"/>
    <mergeCell ref="C27:D27"/>
    <mergeCell ref="E27:G27"/>
    <mergeCell ref="H27:J27"/>
    <mergeCell ref="A28:B28"/>
    <mergeCell ref="C28:D28"/>
    <mergeCell ref="E28:G28"/>
    <mergeCell ref="H28:J28"/>
    <mergeCell ref="A25:B25"/>
    <mergeCell ref="C25:D25"/>
    <mergeCell ref="E25:G25"/>
    <mergeCell ref="H25:J25"/>
    <mergeCell ref="A26:B26"/>
    <mergeCell ref="C26:D26"/>
    <mergeCell ref="E26:G26"/>
    <mergeCell ref="H26:J26"/>
    <mergeCell ref="A23:B23"/>
    <mergeCell ref="C23:D23"/>
    <mergeCell ref="E23:G23"/>
    <mergeCell ref="H23:J23"/>
    <mergeCell ref="A24:B24"/>
    <mergeCell ref="C24:D24"/>
    <mergeCell ref="E24:G24"/>
    <mergeCell ref="H24:J24"/>
    <mergeCell ref="A20:J20"/>
    <mergeCell ref="A21:B21"/>
    <mergeCell ref="C21:D21"/>
    <mergeCell ref="E21:G21"/>
    <mergeCell ref="H21:J21"/>
    <mergeCell ref="A22:B22"/>
    <mergeCell ref="C22:D22"/>
    <mergeCell ref="E22:G22"/>
    <mergeCell ref="H22:J22"/>
    <mergeCell ref="B17:D17"/>
    <mergeCell ref="E17:G17"/>
    <mergeCell ref="H17:J17"/>
    <mergeCell ref="A18:G18"/>
    <mergeCell ref="H18:J18"/>
    <mergeCell ref="B19:D19"/>
    <mergeCell ref="E19:G19"/>
    <mergeCell ref="H19:J19"/>
    <mergeCell ref="A12:D12"/>
    <mergeCell ref="E12:J12"/>
    <mergeCell ref="A13:J13"/>
    <mergeCell ref="A14:J14"/>
    <mergeCell ref="A15:J15"/>
    <mergeCell ref="B16:D16"/>
    <mergeCell ref="E16:G16"/>
    <mergeCell ref="H16:J16"/>
    <mergeCell ref="B10:D10"/>
    <mergeCell ref="E10:J10"/>
    <mergeCell ref="A11:D11"/>
    <mergeCell ref="E11:J11"/>
    <mergeCell ref="B6:D6"/>
    <mergeCell ref="E6:J6"/>
    <mergeCell ref="B7:D7"/>
    <mergeCell ref="E7:J7"/>
    <mergeCell ref="B8:D8"/>
    <mergeCell ref="E8:J8"/>
    <mergeCell ref="A1:C1"/>
    <mergeCell ref="D1:J1"/>
    <mergeCell ref="A2:J2"/>
    <mergeCell ref="A3:J3"/>
    <mergeCell ref="A4:J4"/>
    <mergeCell ref="B5:D5"/>
    <mergeCell ref="E5:J5"/>
    <mergeCell ref="B9:D9"/>
    <mergeCell ref="E9:J9"/>
  </mergeCells>
  <pageMargins left="1" right="1" top="1" bottom="1" header="0.5" footer="0.5"/>
  <pageSetup paperSize="9" orientation="portrait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</sheetPr>
  <dimension ref="A1:L87"/>
  <sheetViews>
    <sheetView topLeftCell="A31" workbookViewId="0">
      <selection activeCell="R85" sqref="R85"/>
    </sheetView>
  </sheetViews>
  <sheetFormatPr defaultRowHeight="15" x14ac:dyDescent="0.25"/>
  <cols>
    <col min="1" max="1" width="4.85546875" customWidth="1"/>
    <col min="2" max="2" width="2" bestFit="1" customWidth="1"/>
    <col min="3" max="3" width="6.7109375" customWidth="1"/>
    <col min="4" max="4" width="45.7109375" customWidth="1"/>
    <col min="5" max="5" width="3.7109375" customWidth="1"/>
    <col min="6" max="6" width="2.5703125" customWidth="1"/>
    <col min="7" max="7" width="4" customWidth="1"/>
    <col min="8" max="8" width="5.5703125" customWidth="1"/>
    <col min="9" max="9" width="3.28515625" customWidth="1"/>
    <col min="10" max="10" width="3.140625" customWidth="1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23"/>
    </row>
    <row r="2" spans="1:12" ht="31.5" customHeight="1" thickBot="1" x14ac:dyDescent="0.3">
      <c r="A2" s="554" t="s">
        <v>0</v>
      </c>
      <c r="B2" s="555"/>
      <c r="C2" s="556"/>
      <c r="D2" s="737" t="s">
        <v>357</v>
      </c>
      <c r="E2" s="738"/>
      <c r="F2" s="738"/>
      <c r="G2" s="738"/>
      <c r="H2" s="738"/>
      <c r="I2" s="738"/>
      <c r="J2" s="739"/>
      <c r="K2" s="23"/>
    </row>
    <row r="3" spans="1:12" ht="9" customHeight="1" thickBot="1" x14ac:dyDescent="0.3">
      <c r="A3" s="267"/>
      <c r="B3" s="232"/>
      <c r="C3" s="232"/>
      <c r="D3" s="232"/>
      <c r="E3" s="232"/>
      <c r="F3" s="232"/>
      <c r="G3" s="232"/>
      <c r="H3" s="232"/>
      <c r="I3" s="232"/>
      <c r="J3" s="265"/>
      <c r="K3" s="23"/>
      <c r="L3" s="23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23"/>
    </row>
    <row r="5" spans="1:12" x14ac:dyDescent="0.25">
      <c r="A5" s="232" t="s">
        <v>31</v>
      </c>
      <c r="B5" s="232"/>
      <c r="C5" s="232"/>
      <c r="D5" s="232"/>
      <c r="E5" s="232"/>
      <c r="F5" s="232"/>
      <c r="G5" s="232"/>
      <c r="H5" s="232"/>
      <c r="I5" s="232"/>
      <c r="J5" s="232"/>
      <c r="K5" s="23"/>
      <c r="L5" s="23"/>
    </row>
    <row r="6" spans="1:12" x14ac:dyDescent="0.25">
      <c r="A6" s="121" t="s">
        <v>2</v>
      </c>
      <c r="B6" s="702" t="s">
        <v>1</v>
      </c>
      <c r="C6" s="703"/>
      <c r="D6" s="704"/>
      <c r="E6" s="788">
        <v>1137.23</v>
      </c>
      <c r="F6" s="788"/>
      <c r="G6" s="788"/>
      <c r="H6" s="788"/>
      <c r="I6" s="788"/>
      <c r="J6" s="788"/>
      <c r="K6" s="23"/>
      <c r="L6" s="23"/>
    </row>
    <row r="7" spans="1:12" x14ac:dyDescent="0.25">
      <c r="A7" s="121" t="s">
        <v>7</v>
      </c>
      <c r="B7" s="702" t="s">
        <v>25</v>
      </c>
      <c r="C7" s="703"/>
      <c r="D7" s="704"/>
      <c r="E7" s="790"/>
      <c r="F7" s="791"/>
      <c r="G7" s="791"/>
      <c r="H7" s="791"/>
      <c r="I7" s="791"/>
      <c r="J7" s="792"/>
      <c r="K7" s="23"/>
      <c r="L7" s="23"/>
    </row>
    <row r="8" spans="1:12" x14ac:dyDescent="0.25">
      <c r="A8" s="121" t="s">
        <v>8</v>
      </c>
      <c r="B8" s="702" t="s">
        <v>26</v>
      </c>
      <c r="C8" s="703"/>
      <c r="D8" s="704"/>
      <c r="E8" s="790"/>
      <c r="F8" s="791"/>
      <c r="G8" s="791"/>
      <c r="H8" s="791"/>
      <c r="I8" s="791"/>
      <c r="J8" s="792"/>
      <c r="K8" s="23"/>
      <c r="L8" s="23"/>
    </row>
    <row r="9" spans="1:12" x14ac:dyDescent="0.25">
      <c r="A9" s="121" t="s">
        <v>9</v>
      </c>
      <c r="B9" s="702" t="s">
        <v>27</v>
      </c>
      <c r="C9" s="703"/>
      <c r="D9" s="704"/>
      <c r="E9" s="790"/>
      <c r="F9" s="791"/>
      <c r="G9" s="791"/>
      <c r="H9" s="791"/>
      <c r="I9" s="791"/>
      <c r="J9" s="792"/>
      <c r="K9" s="23"/>
      <c r="L9" s="23"/>
    </row>
    <row r="10" spans="1:12" x14ac:dyDescent="0.25">
      <c r="A10" s="121" t="s">
        <v>10</v>
      </c>
      <c r="B10" s="702" t="s">
        <v>28</v>
      </c>
      <c r="C10" s="703"/>
      <c r="D10" s="704"/>
      <c r="E10" s="788"/>
      <c r="F10" s="788"/>
      <c r="G10" s="788"/>
      <c r="H10" s="788"/>
      <c r="I10" s="788"/>
      <c r="J10" s="788"/>
      <c r="K10" s="23"/>
      <c r="L10" s="23"/>
    </row>
    <row r="11" spans="1:12" ht="15.75" thickBot="1" x14ac:dyDescent="0.3">
      <c r="A11" s="125" t="s">
        <v>11</v>
      </c>
      <c r="B11" s="609" t="s">
        <v>161</v>
      </c>
      <c r="C11" s="610"/>
      <c r="D11" s="611"/>
      <c r="E11" s="789">
        <f>1045*40%</f>
        <v>418</v>
      </c>
      <c r="F11" s="789"/>
      <c r="G11" s="789"/>
      <c r="H11" s="789"/>
      <c r="I11" s="789"/>
      <c r="J11" s="789"/>
      <c r="K11" s="23"/>
      <c r="L11" s="23"/>
    </row>
    <row r="12" spans="1:12" ht="15.75" thickBot="1" x14ac:dyDescent="0.3">
      <c r="A12" s="645" t="s">
        <v>330</v>
      </c>
      <c r="B12" s="646"/>
      <c r="C12" s="646"/>
      <c r="D12" s="745"/>
      <c r="E12" s="641">
        <f>SUM(E6:J11)</f>
        <v>1555.23</v>
      </c>
      <c r="F12" s="642"/>
      <c r="G12" s="642"/>
      <c r="H12" s="642"/>
      <c r="I12" s="642"/>
      <c r="J12" s="643"/>
      <c r="K12" s="23"/>
      <c r="L12" s="23"/>
    </row>
    <row r="13" spans="1:12" ht="29.25" customHeight="1" x14ac:dyDescent="0.25">
      <c r="A13" s="551" t="s">
        <v>29</v>
      </c>
      <c r="B13" s="715"/>
      <c r="C13" s="715"/>
      <c r="D13" s="716"/>
      <c r="E13" s="548">
        <f>E12*E30</f>
        <v>572.32464000000004</v>
      </c>
      <c r="F13" s="549"/>
      <c r="G13" s="549"/>
      <c r="H13" s="549"/>
      <c r="I13" s="549"/>
      <c r="J13" s="550"/>
      <c r="K13" s="23"/>
      <c r="L13" s="23"/>
    </row>
    <row r="14" spans="1:12" ht="11.25" customHeight="1" thickBot="1" x14ac:dyDescent="0.3">
      <c r="A14" s="267"/>
      <c r="B14" s="232"/>
      <c r="C14" s="232"/>
      <c r="D14" s="232"/>
      <c r="E14" s="232"/>
      <c r="F14" s="232"/>
      <c r="G14" s="232"/>
      <c r="H14" s="232"/>
      <c r="I14" s="232"/>
      <c r="J14" s="265"/>
      <c r="K14" s="23"/>
      <c r="L14" s="23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23"/>
    </row>
    <row r="16" spans="1:12" ht="30" customHeight="1" thickBot="1" x14ac:dyDescent="0.3">
      <c r="A16" s="507" t="s">
        <v>360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23"/>
    </row>
    <row r="17" spans="1:12" x14ac:dyDescent="0.25">
      <c r="A17" s="121" t="s">
        <v>2</v>
      </c>
      <c r="B17" s="265" t="s">
        <v>34</v>
      </c>
      <c r="C17" s="266"/>
      <c r="D17" s="267"/>
      <c r="E17" s="278">
        <v>8.3299999999999999E-2</v>
      </c>
      <c r="F17" s="279"/>
      <c r="G17" s="280"/>
      <c r="H17" s="271">
        <f>E17*E12</f>
        <v>129.550659</v>
      </c>
      <c r="I17" s="271"/>
      <c r="J17" s="271"/>
      <c r="K17" s="23"/>
      <c r="L17" s="23"/>
    </row>
    <row r="18" spans="1:12" x14ac:dyDescent="0.25">
      <c r="A18" s="121" t="s">
        <v>7</v>
      </c>
      <c r="B18" s="265" t="s">
        <v>35</v>
      </c>
      <c r="C18" s="266"/>
      <c r="D18" s="267"/>
      <c r="E18" s="268">
        <v>0.121</v>
      </c>
      <c r="F18" s="269"/>
      <c r="G18" s="270"/>
      <c r="H18" s="271">
        <f>E18*E12</f>
        <v>188.18283</v>
      </c>
      <c r="I18" s="271"/>
      <c r="J18" s="271"/>
      <c r="K18" s="23"/>
      <c r="L18" s="23"/>
    </row>
    <row r="19" spans="1:12" x14ac:dyDescent="0.25">
      <c r="A19" s="687" t="s">
        <v>36</v>
      </c>
      <c r="B19" s="688"/>
      <c r="C19" s="688"/>
      <c r="D19" s="688"/>
      <c r="E19" s="688"/>
      <c r="F19" s="688"/>
      <c r="G19" s="689"/>
      <c r="H19" s="690">
        <f>SUM(H17:J18)</f>
        <v>317.73348899999996</v>
      </c>
      <c r="I19" s="690"/>
      <c r="J19" s="690"/>
      <c r="K19" s="23"/>
      <c r="L19" s="23"/>
    </row>
    <row r="20" spans="1:12" ht="30.75" customHeight="1" thickBot="1" x14ac:dyDescent="0.3">
      <c r="A20" s="123" t="s">
        <v>8</v>
      </c>
      <c r="B20" s="284" t="s">
        <v>37</v>
      </c>
      <c r="C20" s="285"/>
      <c r="D20" s="286"/>
      <c r="E20" s="287">
        <v>7.8200000000000006E-2</v>
      </c>
      <c r="F20" s="288"/>
      <c r="G20" s="289"/>
      <c r="H20" s="290">
        <f>E12*E20</f>
        <v>121.61898600000001</v>
      </c>
      <c r="I20" s="291"/>
      <c r="J20" s="292"/>
      <c r="K20" s="23"/>
      <c r="L20" s="23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23"/>
    </row>
    <row r="22" spans="1:12" x14ac:dyDescent="0.25">
      <c r="A22" s="265" t="s">
        <v>2</v>
      </c>
      <c r="B22" s="267"/>
      <c r="C22" s="676" t="s">
        <v>3</v>
      </c>
      <c r="D22" s="677"/>
      <c r="E22" s="678">
        <v>0.2</v>
      </c>
      <c r="F22" s="678"/>
      <c r="G22" s="678"/>
      <c r="H22" s="271">
        <f>E22*(E12+H19)</f>
        <v>374.5926978</v>
      </c>
      <c r="I22" s="271"/>
      <c r="J22" s="271"/>
      <c r="K22" s="23"/>
      <c r="L22" s="23"/>
    </row>
    <row r="23" spans="1:12" x14ac:dyDescent="0.25">
      <c r="A23" s="265" t="s">
        <v>7</v>
      </c>
      <c r="B23" s="267"/>
      <c r="C23" s="265" t="s">
        <v>41</v>
      </c>
      <c r="D23" s="267"/>
      <c r="E23" s="672">
        <v>2.5000000000000001E-2</v>
      </c>
      <c r="F23" s="672"/>
      <c r="G23" s="672"/>
      <c r="H23" s="271">
        <f>E23*(E12+H19)</f>
        <v>46.824087225</v>
      </c>
      <c r="I23" s="271"/>
      <c r="J23" s="271"/>
      <c r="K23" s="23"/>
      <c r="L23" s="23"/>
    </row>
    <row r="24" spans="1:12" x14ac:dyDescent="0.25">
      <c r="A24" s="265" t="s">
        <v>8</v>
      </c>
      <c r="B24" s="267"/>
      <c r="C24" s="684" t="s">
        <v>42</v>
      </c>
      <c r="D24" s="685"/>
      <c r="E24" s="686">
        <v>0.03</v>
      </c>
      <c r="F24" s="686"/>
      <c r="G24" s="686"/>
      <c r="H24" s="271">
        <f>E24*(E12+H19)</f>
        <v>56.188904669999999</v>
      </c>
      <c r="I24" s="271"/>
      <c r="J24" s="271"/>
      <c r="K24" s="23"/>
      <c r="L24" s="23"/>
    </row>
    <row r="25" spans="1:12" x14ac:dyDescent="0.25">
      <c r="A25" s="265" t="s">
        <v>9</v>
      </c>
      <c r="B25" s="267"/>
      <c r="C25" s="265" t="s">
        <v>43</v>
      </c>
      <c r="D25" s="267"/>
      <c r="E25" s="672">
        <v>1.4999999999999999E-2</v>
      </c>
      <c r="F25" s="672"/>
      <c r="G25" s="672"/>
      <c r="H25" s="271">
        <f>E25*(E12+H19)</f>
        <v>28.094452335</v>
      </c>
      <c r="I25" s="271"/>
      <c r="J25" s="271"/>
      <c r="K25" s="23"/>
      <c r="L25" s="23"/>
    </row>
    <row r="26" spans="1:12" x14ac:dyDescent="0.25">
      <c r="A26" s="265" t="s">
        <v>10</v>
      </c>
      <c r="B26" s="267"/>
      <c r="C26" s="265" t="s">
        <v>44</v>
      </c>
      <c r="D26" s="267"/>
      <c r="E26" s="672">
        <v>0.01</v>
      </c>
      <c r="F26" s="672"/>
      <c r="G26" s="672"/>
      <c r="H26" s="271">
        <f>E26*(E12+H19)</f>
        <v>18.72963489</v>
      </c>
      <c r="I26" s="271"/>
      <c r="J26" s="271"/>
      <c r="K26" s="23"/>
      <c r="L26" s="23"/>
    </row>
    <row r="27" spans="1:12" x14ac:dyDescent="0.25">
      <c r="A27" s="265" t="s">
        <v>11</v>
      </c>
      <c r="B27" s="267"/>
      <c r="C27" s="265" t="s">
        <v>6</v>
      </c>
      <c r="D27" s="267"/>
      <c r="E27" s="672">
        <v>6.0000000000000001E-3</v>
      </c>
      <c r="F27" s="672"/>
      <c r="G27" s="672"/>
      <c r="H27" s="271">
        <f>E27*(E12+H19)</f>
        <v>11.237780934</v>
      </c>
      <c r="I27" s="271"/>
      <c r="J27" s="271"/>
      <c r="K27" s="23"/>
      <c r="L27" s="23"/>
    </row>
    <row r="28" spans="1:12" x14ac:dyDescent="0.25">
      <c r="A28" s="265" t="s">
        <v>39</v>
      </c>
      <c r="B28" s="267"/>
      <c r="C28" s="265" t="s">
        <v>5</v>
      </c>
      <c r="D28" s="267"/>
      <c r="E28" s="672">
        <v>2E-3</v>
      </c>
      <c r="F28" s="672"/>
      <c r="G28" s="672"/>
      <c r="H28" s="271">
        <f>E28*(E12+H19)</f>
        <v>3.745926978</v>
      </c>
      <c r="I28" s="271"/>
      <c r="J28" s="271"/>
      <c r="K28" s="23"/>
      <c r="L28" s="23"/>
    </row>
    <row r="29" spans="1:12" x14ac:dyDescent="0.25">
      <c r="A29" s="679" t="s">
        <v>40</v>
      </c>
      <c r="B29" s="680"/>
      <c r="C29" s="265" t="s">
        <v>4</v>
      </c>
      <c r="D29" s="266"/>
      <c r="E29" s="681">
        <v>0.08</v>
      </c>
      <c r="F29" s="682"/>
      <c r="G29" s="683"/>
      <c r="H29" s="271">
        <f>E29*(E12+H19)</f>
        <v>149.83707912</v>
      </c>
      <c r="I29" s="271"/>
      <c r="J29" s="271"/>
      <c r="K29" s="23"/>
      <c r="L29" s="23"/>
    </row>
    <row r="30" spans="1:12" ht="15.75" thickBot="1" x14ac:dyDescent="0.3">
      <c r="A30" s="656" t="s">
        <v>36</v>
      </c>
      <c r="B30" s="656"/>
      <c r="C30" s="656"/>
      <c r="D30" s="656"/>
      <c r="E30" s="657">
        <f>SUM(E22:G29)</f>
        <v>0.36800000000000005</v>
      </c>
      <c r="F30" s="658"/>
      <c r="G30" s="659"/>
      <c r="H30" s="660">
        <f>SUM(H22:J29)</f>
        <v>689.25056395199999</v>
      </c>
      <c r="I30" s="660"/>
      <c r="J30" s="660"/>
      <c r="K30" s="23"/>
      <c r="L30" s="23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23"/>
    </row>
    <row r="32" spans="1:12" x14ac:dyDescent="0.25">
      <c r="A32" s="265" t="s">
        <v>2</v>
      </c>
      <c r="B32" s="267"/>
      <c r="C32" s="676" t="s">
        <v>46</v>
      </c>
      <c r="D32" s="677"/>
      <c r="E32" s="678"/>
      <c r="F32" s="678"/>
      <c r="G32" s="678"/>
      <c r="H32" s="271">
        <f>(3.9*2*25.5)-6%*E6</f>
        <v>130.6662</v>
      </c>
      <c r="I32" s="271"/>
      <c r="J32" s="271"/>
      <c r="K32" s="23"/>
      <c r="L32" s="23"/>
    </row>
    <row r="33" spans="1:12" x14ac:dyDescent="0.25">
      <c r="A33" s="265" t="s">
        <v>7</v>
      </c>
      <c r="B33" s="267"/>
      <c r="C33" s="265" t="s">
        <v>47</v>
      </c>
      <c r="D33" s="267"/>
      <c r="E33" s="672"/>
      <c r="F33" s="672"/>
      <c r="G33" s="672"/>
      <c r="H33" s="271">
        <f>(13.13*25.5)</f>
        <v>334.815</v>
      </c>
      <c r="I33" s="271"/>
      <c r="J33" s="271"/>
      <c r="K33" s="23"/>
      <c r="L33" s="23"/>
    </row>
    <row r="34" spans="1:12" x14ac:dyDescent="0.25">
      <c r="A34" s="265" t="s">
        <v>8</v>
      </c>
      <c r="B34" s="267"/>
      <c r="C34" s="284" t="s">
        <v>176</v>
      </c>
      <c r="D34" s="286"/>
      <c r="E34" s="672"/>
      <c r="F34" s="672"/>
      <c r="G34" s="672"/>
      <c r="H34" s="271">
        <v>204.21</v>
      </c>
      <c r="I34" s="271"/>
      <c r="J34" s="271"/>
      <c r="K34" s="23"/>
      <c r="L34" s="23"/>
    </row>
    <row r="35" spans="1:12" x14ac:dyDescent="0.25">
      <c r="A35" s="265" t="s">
        <v>9</v>
      </c>
      <c r="B35" s="267"/>
      <c r="C35" s="342" t="s">
        <v>28</v>
      </c>
      <c r="D35" s="343"/>
      <c r="E35" s="672"/>
      <c r="F35" s="672"/>
      <c r="G35" s="672"/>
      <c r="H35" s="271">
        <v>25.95</v>
      </c>
      <c r="I35" s="271"/>
      <c r="J35" s="271"/>
      <c r="K35" s="23"/>
      <c r="L35" s="23"/>
    </row>
    <row r="36" spans="1:12" ht="15.75" thickBot="1" x14ac:dyDescent="0.3">
      <c r="A36" s="673" t="s">
        <v>38</v>
      </c>
      <c r="B36" s="674"/>
      <c r="C36" s="674"/>
      <c r="D36" s="674"/>
      <c r="E36" s="674"/>
      <c r="F36" s="674"/>
      <c r="G36" s="675"/>
      <c r="H36" s="655">
        <f>SUM(H32:J35)</f>
        <v>695.64120000000003</v>
      </c>
      <c r="I36" s="655"/>
      <c r="J36" s="655"/>
      <c r="K36" s="23"/>
      <c r="L36" s="23"/>
    </row>
    <row r="37" spans="1:12" ht="15.75" thickBot="1" x14ac:dyDescent="0.3">
      <c r="A37" s="645" t="s">
        <v>72</v>
      </c>
      <c r="B37" s="646"/>
      <c r="C37" s="646"/>
      <c r="D37" s="745"/>
      <c r="E37" s="648">
        <f>H19+H30+H36</f>
        <v>1702.625252952</v>
      </c>
      <c r="F37" s="649"/>
      <c r="G37" s="649"/>
      <c r="H37" s="649"/>
      <c r="I37" s="649"/>
      <c r="J37" s="650"/>
      <c r="K37" s="23"/>
      <c r="L37" s="23"/>
    </row>
    <row r="38" spans="1:12" ht="11.25" customHeight="1" thickBot="1" x14ac:dyDescent="0.3">
      <c r="A38" s="670"/>
      <c r="B38" s="670"/>
      <c r="C38" s="670"/>
      <c r="D38" s="670"/>
      <c r="E38" s="670"/>
      <c r="F38" s="670"/>
      <c r="G38" s="670"/>
      <c r="H38" s="670"/>
      <c r="I38" s="670"/>
      <c r="J38" s="670"/>
      <c r="K38" s="23"/>
      <c r="L38" s="23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23"/>
    </row>
    <row r="40" spans="1:12" x14ac:dyDescent="0.25">
      <c r="A40" s="314" t="s">
        <v>2</v>
      </c>
      <c r="B40" s="315"/>
      <c r="C40" s="314" t="s">
        <v>51</v>
      </c>
      <c r="D40" s="315"/>
      <c r="E40" s="49"/>
      <c r="F40" s="51"/>
      <c r="G40" s="50"/>
      <c r="H40" s="316">
        <f>E12/12*5%</f>
        <v>6.4801250000000001</v>
      </c>
      <c r="I40" s="317"/>
      <c r="J40" s="315"/>
      <c r="K40" s="23"/>
      <c r="L40" s="23"/>
    </row>
    <row r="41" spans="1:12" x14ac:dyDescent="0.25">
      <c r="A41" s="314" t="s">
        <v>7</v>
      </c>
      <c r="B41" s="315"/>
      <c r="C41" s="314" t="s">
        <v>52</v>
      </c>
      <c r="D41" s="315"/>
      <c r="E41" s="49"/>
      <c r="F41" s="51"/>
      <c r="G41" s="50"/>
      <c r="H41" s="316">
        <f>H40*8%</f>
        <v>0.51841000000000004</v>
      </c>
      <c r="I41" s="317"/>
      <c r="J41" s="315"/>
      <c r="K41" s="23"/>
      <c r="L41" s="23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271">
        <f>E42*E12</f>
        <v>0</v>
      </c>
      <c r="I42" s="271"/>
      <c r="J42" s="271"/>
      <c r="K42" s="23"/>
      <c r="L42" s="23"/>
    </row>
    <row r="43" spans="1:12" x14ac:dyDescent="0.25">
      <c r="A43" s="232" t="s">
        <v>9</v>
      </c>
      <c r="B43" s="232"/>
      <c r="C43" s="265" t="s">
        <v>54</v>
      </c>
      <c r="D43" s="267"/>
      <c r="E43" s="341"/>
      <c r="F43" s="341"/>
      <c r="G43" s="341"/>
      <c r="H43" s="271">
        <f>E12/30/12*7*100%</f>
        <v>30.240583333333337</v>
      </c>
      <c r="I43" s="271"/>
      <c r="J43" s="271"/>
      <c r="K43" s="23"/>
      <c r="L43" s="23"/>
    </row>
    <row r="44" spans="1:12" ht="30.75" customHeight="1" x14ac:dyDescent="0.25">
      <c r="A44" s="232" t="s">
        <v>10</v>
      </c>
      <c r="B44" s="232"/>
      <c r="C44" s="342" t="s">
        <v>83</v>
      </c>
      <c r="D44" s="343"/>
      <c r="E44" s="341"/>
      <c r="F44" s="341"/>
      <c r="G44" s="341"/>
      <c r="H44" s="271">
        <f>H43*39.8%</f>
        <v>12.035752166666667</v>
      </c>
      <c r="I44" s="271"/>
      <c r="J44" s="271"/>
      <c r="K44" s="23"/>
      <c r="L44" s="23"/>
    </row>
    <row r="45" spans="1:12" ht="30.75" customHeight="1" thickBot="1" x14ac:dyDescent="0.3">
      <c r="A45" s="634" t="s">
        <v>11</v>
      </c>
      <c r="B45" s="635"/>
      <c r="C45" s="755" t="s">
        <v>53</v>
      </c>
      <c r="D45" s="756"/>
      <c r="E45" s="663"/>
      <c r="F45" s="664"/>
      <c r="G45" s="665"/>
      <c r="H45" s="666">
        <f>E12*5%</f>
        <v>77.761500000000012</v>
      </c>
      <c r="I45" s="667"/>
      <c r="J45" s="668"/>
      <c r="K45" s="23"/>
      <c r="L45" s="23"/>
    </row>
    <row r="46" spans="1:12" ht="15.75" thickBot="1" x14ac:dyDescent="0.3">
      <c r="A46" s="638" t="s">
        <v>333</v>
      </c>
      <c r="B46" s="639"/>
      <c r="C46" s="639"/>
      <c r="D46" s="639"/>
      <c r="E46" s="639"/>
      <c r="F46" s="639"/>
      <c r="G46" s="639"/>
      <c r="H46" s="641">
        <f>SUM(H40:J45)</f>
        <v>127.03637050000002</v>
      </c>
      <c r="I46" s="642"/>
      <c r="J46" s="643"/>
      <c r="K46" s="23"/>
      <c r="L46" s="23"/>
    </row>
    <row r="47" spans="1:12" ht="9.75" customHeight="1" thickBot="1" x14ac:dyDescent="0.3">
      <c r="E47" s="17"/>
      <c r="F47" s="17"/>
      <c r="G47" s="17"/>
      <c r="H47" s="18"/>
      <c r="I47" s="18"/>
      <c r="J47" s="18"/>
      <c r="K47" s="23"/>
      <c r="L47" s="23"/>
    </row>
    <row r="48" spans="1:12" ht="33" customHeight="1" thickBot="1" x14ac:dyDescent="0.3">
      <c r="A48" s="494" t="s">
        <v>332</v>
      </c>
      <c r="B48" s="495"/>
      <c r="C48" s="495"/>
      <c r="D48" s="495"/>
      <c r="E48" s="495"/>
      <c r="F48" s="495"/>
      <c r="G48" s="495"/>
      <c r="H48" s="495"/>
      <c r="I48" s="495"/>
      <c r="J48" s="496"/>
      <c r="K48" s="23"/>
    </row>
    <row r="49" spans="1:12" x14ac:dyDescent="0.25">
      <c r="A49" s="314" t="s">
        <v>2</v>
      </c>
      <c r="B49" s="315"/>
      <c r="C49" s="314" t="s">
        <v>56</v>
      </c>
      <c r="D49" s="315"/>
      <c r="E49" s="49"/>
      <c r="F49" s="51"/>
      <c r="G49" s="50"/>
      <c r="H49" s="316">
        <f>E20/12*5%</f>
        <v>3.2583333333333336E-4</v>
      </c>
      <c r="I49" s="317"/>
      <c r="J49" s="315"/>
      <c r="K49" s="23"/>
      <c r="L49" s="23"/>
    </row>
    <row r="50" spans="1:12" x14ac:dyDescent="0.25">
      <c r="A50" s="314" t="s">
        <v>7</v>
      </c>
      <c r="B50" s="315"/>
      <c r="C50" s="314" t="s">
        <v>57</v>
      </c>
      <c r="D50" s="315"/>
      <c r="E50" s="49"/>
      <c r="F50" s="51"/>
      <c r="G50" s="50"/>
      <c r="H50" s="316">
        <f>E12/30/12</f>
        <v>4.3200833333333337</v>
      </c>
      <c r="I50" s="317"/>
      <c r="J50" s="315"/>
      <c r="K50" s="23"/>
      <c r="L50" s="23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271">
        <f>E12/30/12*5*1.5%</f>
        <v>0.32400625</v>
      </c>
      <c r="I51" s="271"/>
      <c r="J51" s="271"/>
      <c r="K51" s="23"/>
      <c r="L51" s="23"/>
    </row>
    <row r="52" spans="1:12" ht="31.5" customHeight="1" x14ac:dyDescent="0.25">
      <c r="A52" s="232" t="s">
        <v>9</v>
      </c>
      <c r="B52" s="232"/>
      <c r="C52" s="661" t="s">
        <v>59</v>
      </c>
      <c r="D52" s="662"/>
      <c r="E52" s="341"/>
      <c r="F52" s="341"/>
      <c r="G52" s="341"/>
      <c r="H52" s="271">
        <f>E12/30/12*15*8%</f>
        <v>5.1841000000000008</v>
      </c>
      <c r="I52" s="271"/>
      <c r="J52" s="271"/>
      <c r="K52" s="23"/>
      <c r="L52" s="23"/>
    </row>
    <row r="53" spans="1:12" x14ac:dyDescent="0.25">
      <c r="A53" s="232" t="s">
        <v>10</v>
      </c>
      <c r="B53" s="232"/>
      <c r="C53" s="342" t="s">
        <v>60</v>
      </c>
      <c r="D53" s="343"/>
      <c r="E53" s="341"/>
      <c r="F53" s="341"/>
      <c r="G53" s="341"/>
      <c r="H53" s="271">
        <f>E20*5%</f>
        <v>3.9100000000000003E-3</v>
      </c>
      <c r="I53" s="271"/>
      <c r="J53" s="271"/>
      <c r="K53" s="23"/>
      <c r="L53" s="23"/>
    </row>
    <row r="54" spans="1:12" x14ac:dyDescent="0.25">
      <c r="A54" s="232" t="s">
        <v>11</v>
      </c>
      <c r="B54" s="232"/>
      <c r="C54" s="342" t="s">
        <v>61</v>
      </c>
      <c r="D54" s="343"/>
      <c r="E54" s="341"/>
      <c r="F54" s="341"/>
      <c r="G54" s="341"/>
      <c r="H54" s="271">
        <f>E12/30/12*5*40%</f>
        <v>8.6401666666666674</v>
      </c>
      <c r="I54" s="271"/>
      <c r="J54" s="271"/>
      <c r="K54" s="23"/>
      <c r="L54" s="23"/>
    </row>
    <row r="55" spans="1:12" ht="30" customHeight="1" x14ac:dyDescent="0.25">
      <c r="A55" s="232" t="s">
        <v>39</v>
      </c>
      <c r="B55" s="232"/>
      <c r="C55" s="342" t="s">
        <v>62</v>
      </c>
      <c r="D55" s="343"/>
      <c r="E55" s="341"/>
      <c r="F55" s="341"/>
      <c r="G55" s="341"/>
      <c r="H55" s="271">
        <f>SUM(H49:J54)*39.8%</f>
        <v>7.3520916491666668</v>
      </c>
      <c r="I55" s="271"/>
      <c r="J55" s="271"/>
      <c r="K55" s="23"/>
      <c r="L55" s="23"/>
    </row>
    <row r="56" spans="1:12" ht="15.75" thickBot="1" x14ac:dyDescent="0.3">
      <c r="A56" s="656" t="s">
        <v>36</v>
      </c>
      <c r="B56" s="656"/>
      <c r="C56" s="656"/>
      <c r="D56" s="656"/>
      <c r="E56" s="657"/>
      <c r="F56" s="658"/>
      <c r="G56" s="659"/>
      <c r="H56" s="660">
        <f>SUM(H49:J55)</f>
        <v>25.824683732500002</v>
      </c>
      <c r="I56" s="660"/>
      <c r="J56" s="660"/>
      <c r="K56" s="23"/>
      <c r="L56" s="23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23"/>
    </row>
    <row r="58" spans="1:12" ht="32.25" customHeight="1" x14ac:dyDescent="0.25">
      <c r="A58" s="314" t="s">
        <v>2</v>
      </c>
      <c r="B58" s="315"/>
      <c r="C58" s="344" t="s">
        <v>64</v>
      </c>
      <c r="D58" s="345"/>
      <c r="E58" s="49"/>
      <c r="F58" s="51"/>
      <c r="G58" s="50"/>
      <c r="H58" s="316">
        <f>((((E12+(E12/3))*0.3333)/12)*2%)</f>
        <v>1.1519070199999999</v>
      </c>
      <c r="I58" s="317"/>
      <c r="J58" s="315"/>
      <c r="K58" s="23"/>
      <c r="L58" s="23"/>
    </row>
    <row r="59" spans="1:12" ht="31.5" customHeight="1" x14ac:dyDescent="0.25">
      <c r="A59" s="314" t="s">
        <v>7</v>
      </c>
      <c r="B59" s="315"/>
      <c r="C59" s="344" t="s">
        <v>65</v>
      </c>
      <c r="D59" s="345"/>
      <c r="E59" s="49"/>
      <c r="F59" s="51"/>
      <c r="G59" s="50"/>
      <c r="H59" s="316">
        <f>H58*39.8%</f>
        <v>0.45845899395999989</v>
      </c>
      <c r="I59" s="317"/>
      <c r="J59" s="315"/>
      <c r="K59" s="23"/>
      <c r="L59" s="23"/>
    </row>
    <row r="60" spans="1:12" ht="45" customHeight="1" x14ac:dyDescent="0.25">
      <c r="A60" s="318" t="s">
        <v>8</v>
      </c>
      <c r="B60" s="319"/>
      <c r="C60" s="344" t="s">
        <v>66</v>
      </c>
      <c r="D60" s="345"/>
      <c r="E60" s="322"/>
      <c r="F60" s="323"/>
      <c r="G60" s="324"/>
      <c r="H60" s="271">
        <f>(((E12+H17)*0.333)*2%)*39.8%</f>
        <v>4.4658143971981206</v>
      </c>
      <c r="I60" s="271"/>
      <c r="J60" s="271"/>
      <c r="K60" s="23"/>
      <c r="L60" s="23"/>
    </row>
    <row r="61" spans="1:12" x14ac:dyDescent="0.25">
      <c r="A61" s="232" t="s">
        <v>9</v>
      </c>
      <c r="B61" s="232"/>
      <c r="C61" s="265" t="s">
        <v>67</v>
      </c>
      <c r="D61" s="267"/>
      <c r="E61" s="341"/>
      <c r="F61" s="341"/>
      <c r="G61" s="341"/>
      <c r="H61" s="271"/>
      <c r="I61" s="271"/>
      <c r="J61" s="271"/>
      <c r="K61" s="23"/>
      <c r="L61" s="23"/>
    </row>
    <row r="62" spans="1:12" ht="15.75" thickBot="1" x14ac:dyDescent="0.3">
      <c r="A62" s="656" t="s">
        <v>36</v>
      </c>
      <c r="B62" s="656"/>
      <c r="C62" s="656"/>
      <c r="D62" s="656"/>
      <c r="E62" s="657"/>
      <c r="F62" s="658"/>
      <c r="G62" s="659"/>
      <c r="H62" s="660">
        <f>SUM(H58:J61)</f>
        <v>6.0761804111581199</v>
      </c>
      <c r="I62" s="660"/>
      <c r="J62" s="660"/>
      <c r="K62" s="23"/>
      <c r="L62" s="23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23"/>
    </row>
    <row r="64" spans="1:12" ht="33" customHeight="1" x14ac:dyDescent="0.25">
      <c r="A64" s="314" t="s">
        <v>2</v>
      </c>
      <c r="B64" s="315"/>
      <c r="C64" s="344" t="s">
        <v>69</v>
      </c>
      <c r="D64" s="345"/>
      <c r="E64" s="49"/>
      <c r="F64" s="51"/>
      <c r="G64" s="50"/>
      <c r="H64" s="316">
        <f>((((E18+(E18/3))*0.3333)/12)*2%)</f>
        <v>8.9620666666666654E-5</v>
      </c>
      <c r="I64" s="317"/>
      <c r="J64" s="315"/>
      <c r="K64" s="23"/>
      <c r="L64" s="23"/>
    </row>
    <row r="65" spans="1:12" ht="29.25" customHeight="1" x14ac:dyDescent="0.25">
      <c r="A65" s="314" t="s">
        <v>7</v>
      </c>
      <c r="B65" s="315"/>
      <c r="C65" s="344" t="s">
        <v>70</v>
      </c>
      <c r="D65" s="345"/>
      <c r="E65" s="49"/>
      <c r="F65" s="51"/>
      <c r="G65" s="50"/>
      <c r="H65" s="316">
        <f>H64*39.8%</f>
        <v>3.5669025333333325E-5</v>
      </c>
      <c r="I65" s="317"/>
      <c r="J65" s="315"/>
      <c r="K65" s="23"/>
      <c r="L65" s="23"/>
    </row>
    <row r="66" spans="1:12" ht="15.75" thickBot="1" x14ac:dyDescent="0.3">
      <c r="A66" s="651" t="s">
        <v>36</v>
      </c>
      <c r="B66" s="651"/>
      <c r="C66" s="651"/>
      <c r="D66" s="651"/>
      <c r="E66" s="652"/>
      <c r="F66" s="653"/>
      <c r="G66" s="654"/>
      <c r="H66" s="655">
        <f>SUM(H64:J65)</f>
        <v>1.2528969199999997E-4</v>
      </c>
      <c r="I66" s="655"/>
      <c r="J66" s="655"/>
      <c r="K66" s="23"/>
      <c r="L66" s="23"/>
    </row>
    <row r="67" spans="1:12" ht="15.75" thickBot="1" x14ac:dyDescent="0.3">
      <c r="A67" s="645" t="s">
        <v>71</v>
      </c>
      <c r="B67" s="646"/>
      <c r="C67" s="646"/>
      <c r="D67" s="745"/>
      <c r="E67" s="648">
        <f>H66+H62+H56</f>
        <v>31.900989433350123</v>
      </c>
      <c r="F67" s="649"/>
      <c r="G67" s="649"/>
      <c r="H67" s="649"/>
      <c r="I67" s="649"/>
      <c r="J67" s="650"/>
      <c r="K67" s="23"/>
      <c r="L67" s="23"/>
    </row>
    <row r="68" spans="1:12" ht="11.25" customHeight="1" thickBo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  <c r="L68" s="23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23"/>
    </row>
    <row r="70" spans="1:12" x14ac:dyDescent="0.25">
      <c r="A70" s="314" t="s">
        <v>2</v>
      </c>
      <c r="B70" s="315"/>
      <c r="C70" s="314" t="s">
        <v>74</v>
      </c>
      <c r="D70" s="315"/>
      <c r="E70" s="314"/>
      <c r="F70" s="317"/>
      <c r="G70" s="315"/>
      <c r="H70" s="316">
        <v>300</v>
      </c>
      <c r="I70" s="317"/>
      <c r="J70" s="315"/>
      <c r="K70" s="23"/>
      <c r="L70" s="23"/>
    </row>
    <row r="71" spans="1:12" x14ac:dyDescent="0.25">
      <c r="A71" s="314" t="s">
        <v>7</v>
      </c>
      <c r="B71" s="315"/>
      <c r="C71" s="314" t="s">
        <v>75</v>
      </c>
      <c r="D71" s="315"/>
      <c r="E71" s="49"/>
      <c r="F71" s="51"/>
      <c r="G71" s="50"/>
      <c r="H71" s="316">
        <v>5</v>
      </c>
      <c r="I71" s="317"/>
      <c r="J71" s="315"/>
      <c r="K71" s="23"/>
      <c r="L71" s="23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271">
        <v>43.5</v>
      </c>
      <c r="I72" s="271"/>
      <c r="J72" s="271"/>
      <c r="K72" s="23"/>
      <c r="L72" s="23"/>
    </row>
    <row r="73" spans="1:12" ht="15.75" thickBot="1" x14ac:dyDescent="0.3">
      <c r="A73" s="633" t="s">
        <v>9</v>
      </c>
      <c r="B73" s="633"/>
      <c r="C73" s="634" t="s">
        <v>28</v>
      </c>
      <c r="D73" s="635"/>
      <c r="E73" s="636"/>
      <c r="F73" s="636"/>
      <c r="G73" s="636"/>
      <c r="H73" s="637">
        <v>25</v>
      </c>
      <c r="I73" s="637"/>
      <c r="J73" s="637"/>
      <c r="K73" s="23"/>
      <c r="L73" s="23"/>
    </row>
    <row r="74" spans="1:12" ht="15.75" thickBot="1" x14ac:dyDescent="0.3">
      <c r="A74" s="638" t="s">
        <v>336</v>
      </c>
      <c r="B74" s="639"/>
      <c r="C74" s="639"/>
      <c r="D74" s="639"/>
      <c r="E74" s="639"/>
      <c r="F74" s="639"/>
      <c r="G74" s="639"/>
      <c r="H74" s="641">
        <f>SUM(H70:J73)</f>
        <v>373.5</v>
      </c>
      <c r="I74" s="642"/>
      <c r="J74" s="643"/>
      <c r="K74" s="23"/>
      <c r="L74" s="23"/>
    </row>
    <row r="75" spans="1:12" ht="9" customHeight="1" thickBot="1" x14ac:dyDescent="0.3">
      <c r="E75" s="17"/>
      <c r="F75" s="17"/>
      <c r="G75" s="17"/>
      <c r="H75" s="18"/>
      <c r="I75" s="18"/>
      <c r="J75" s="18"/>
      <c r="K75" s="23"/>
      <c r="L75" s="23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23"/>
    </row>
    <row r="77" spans="1:12" x14ac:dyDescent="0.25">
      <c r="A77" s="314" t="s">
        <v>2</v>
      </c>
      <c r="B77" s="315"/>
      <c r="C77" s="314" t="s">
        <v>77</v>
      </c>
      <c r="D77" s="315"/>
      <c r="E77" s="644">
        <v>7.0000000000000007E-2</v>
      </c>
      <c r="F77" s="317"/>
      <c r="G77" s="315"/>
      <c r="H77" s="316">
        <f>(H74+E67+H46+E37+E12)*E77</f>
        <v>265.32048290197451</v>
      </c>
      <c r="I77" s="317"/>
      <c r="J77" s="315"/>
      <c r="K77" s="23"/>
      <c r="L77" s="23"/>
    </row>
    <row r="78" spans="1:12" x14ac:dyDescent="0.25">
      <c r="A78" s="314" t="s">
        <v>7</v>
      </c>
      <c r="B78" s="315"/>
      <c r="C78" s="314" t="s">
        <v>12</v>
      </c>
      <c r="D78" s="315"/>
      <c r="E78" s="644">
        <v>7.5774185115783349E-2</v>
      </c>
      <c r="F78" s="317"/>
      <c r="G78" s="315"/>
      <c r="H78" s="316">
        <f>E78*(H74+E67+H46+E37+E12)</f>
        <v>287.20633409176065</v>
      </c>
      <c r="I78" s="317"/>
      <c r="J78" s="315"/>
      <c r="K78" s="23"/>
      <c r="L78" s="23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271">
        <f>(H74+E67+H46+E37+E12)/E79</f>
        <v>4420.16631240274</v>
      </c>
      <c r="I79" s="271"/>
      <c r="J79" s="271"/>
      <c r="K79" s="23"/>
      <c r="L79" s="23"/>
    </row>
    <row r="80" spans="1:12" x14ac:dyDescent="0.25">
      <c r="A80" s="232" t="s">
        <v>9</v>
      </c>
      <c r="B80" s="232"/>
      <c r="C80" s="265" t="s">
        <v>79</v>
      </c>
      <c r="D80" s="267"/>
      <c r="E80" s="341">
        <v>1.6500000000000001E-2</v>
      </c>
      <c r="F80" s="341"/>
      <c r="G80" s="341"/>
      <c r="H80" s="271">
        <f>E80*H87</f>
        <v>54.550980000000003</v>
      </c>
      <c r="I80" s="271"/>
      <c r="J80" s="271"/>
      <c r="K80" s="23"/>
      <c r="L80" s="23"/>
    </row>
    <row r="81" spans="1:12" x14ac:dyDescent="0.25">
      <c r="A81" s="232" t="s">
        <v>9</v>
      </c>
      <c r="B81" s="232"/>
      <c r="C81" s="265" t="s">
        <v>80</v>
      </c>
      <c r="D81" s="267"/>
      <c r="E81" s="341">
        <v>7.5999999999999998E-2</v>
      </c>
      <c r="F81" s="341"/>
      <c r="G81" s="341"/>
      <c r="H81" s="271">
        <f>E81*H87</f>
        <v>251.26512</v>
      </c>
      <c r="I81" s="271"/>
      <c r="J81" s="271"/>
      <c r="K81" s="23"/>
      <c r="L81" s="23"/>
    </row>
    <row r="82" spans="1:12" x14ac:dyDescent="0.25">
      <c r="A82" s="232" t="s">
        <v>10</v>
      </c>
      <c r="B82" s="232"/>
      <c r="C82" s="265" t="s">
        <v>81</v>
      </c>
      <c r="D82" s="267"/>
      <c r="E82" s="341"/>
      <c r="F82" s="341"/>
      <c r="G82" s="341"/>
      <c r="H82" s="271"/>
      <c r="I82" s="271"/>
      <c r="J82" s="271"/>
      <c r="K82" s="23"/>
      <c r="L82" s="23"/>
    </row>
    <row r="83" spans="1:12" ht="15.75" thickBot="1" x14ac:dyDescent="0.3">
      <c r="A83" s="633" t="s">
        <v>11</v>
      </c>
      <c r="B83" s="633"/>
      <c r="C83" s="634" t="s">
        <v>82</v>
      </c>
      <c r="D83" s="635"/>
      <c r="E83" s="636">
        <v>0.05</v>
      </c>
      <c r="F83" s="636"/>
      <c r="G83" s="636"/>
      <c r="H83" s="637">
        <f>E83*H87</f>
        <v>165.30600000000001</v>
      </c>
      <c r="I83" s="637"/>
      <c r="J83" s="637"/>
      <c r="K83" s="23"/>
      <c r="L83" s="23"/>
    </row>
    <row r="84" spans="1:12" ht="15.75" thickBot="1" x14ac:dyDescent="0.3">
      <c r="A84" s="638" t="s">
        <v>340</v>
      </c>
      <c r="B84" s="639"/>
      <c r="C84" s="639"/>
      <c r="D84" s="639"/>
      <c r="E84" s="639"/>
      <c r="F84" s="639"/>
      <c r="G84" s="639"/>
      <c r="H84" s="641">
        <f>H77+H78+H80+H81+H83</f>
        <v>1023.6489169937352</v>
      </c>
      <c r="I84" s="642"/>
      <c r="J84" s="643"/>
      <c r="K84" s="23"/>
      <c r="L84" s="23"/>
    </row>
    <row r="85" spans="1:12" ht="11.25" customHeight="1" thickBot="1" x14ac:dyDescent="0.3">
      <c r="E85" s="17"/>
      <c r="F85" s="17"/>
      <c r="G85" s="17"/>
      <c r="H85" s="18"/>
      <c r="I85" s="18"/>
      <c r="J85" s="18"/>
      <c r="K85" s="23"/>
      <c r="L85" s="23"/>
    </row>
    <row r="86" spans="1:12" ht="15.75" thickBot="1" x14ac:dyDescent="0.3">
      <c r="A86" s="627" t="s">
        <v>85</v>
      </c>
      <c r="B86" s="628"/>
      <c r="C86" s="628"/>
      <c r="D86" s="628"/>
      <c r="E86" s="628"/>
      <c r="F86" s="628"/>
      <c r="G86" s="628"/>
      <c r="H86" s="757">
        <f>SUM(H84+H74+E67+H46+E37+E12)</f>
        <v>4813.9415298790846</v>
      </c>
      <c r="I86" s="758"/>
      <c r="J86" s="759"/>
    </row>
    <row r="87" spans="1:12" x14ac:dyDescent="0.25">
      <c r="H87" s="126">
        <v>3306.12</v>
      </c>
      <c r="I87" s="126"/>
      <c r="J87" s="126"/>
    </row>
  </sheetData>
  <mergeCells count="230">
    <mergeCell ref="A1:J1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</sheetPr>
  <dimension ref="A1:L87"/>
  <sheetViews>
    <sheetView topLeftCell="A34" workbookViewId="0">
      <selection activeCell="L84" sqref="L84"/>
    </sheetView>
  </sheetViews>
  <sheetFormatPr defaultRowHeight="15" x14ac:dyDescent="0.25"/>
  <cols>
    <col min="1" max="1" width="3.85546875" customWidth="1"/>
    <col min="2" max="2" width="2" bestFit="1" customWidth="1"/>
    <col min="3" max="3" width="7.5703125" customWidth="1"/>
    <col min="4" max="4" width="46.7109375" customWidth="1"/>
    <col min="5" max="5" width="3.7109375" customWidth="1"/>
    <col min="6" max="6" width="2.5703125" customWidth="1"/>
    <col min="7" max="7" width="4.7109375" customWidth="1"/>
    <col min="8" max="8" width="5.5703125" customWidth="1"/>
    <col min="9" max="9" width="3.28515625" customWidth="1"/>
    <col min="10" max="10" width="3.140625" customWidth="1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23"/>
    </row>
    <row r="2" spans="1:12" ht="20.25" customHeight="1" thickBot="1" x14ac:dyDescent="0.3">
      <c r="A2" s="554" t="s">
        <v>0</v>
      </c>
      <c r="B2" s="555"/>
      <c r="C2" s="556"/>
      <c r="D2" s="737" t="s">
        <v>175</v>
      </c>
      <c r="E2" s="738"/>
      <c r="F2" s="738"/>
      <c r="G2" s="738"/>
      <c r="H2" s="738"/>
      <c r="I2" s="738"/>
      <c r="J2" s="739"/>
      <c r="K2" s="23"/>
    </row>
    <row r="3" spans="1:12" ht="9" customHeight="1" thickBot="1" x14ac:dyDescent="0.3">
      <c r="A3" s="267"/>
      <c r="B3" s="232"/>
      <c r="C3" s="232"/>
      <c r="D3" s="232"/>
      <c r="E3" s="232"/>
      <c r="F3" s="232"/>
      <c r="G3" s="232"/>
      <c r="H3" s="232"/>
      <c r="I3" s="232"/>
      <c r="J3" s="265"/>
      <c r="K3" s="23"/>
      <c r="L3" s="23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23"/>
    </row>
    <row r="5" spans="1:12" x14ac:dyDescent="0.25">
      <c r="A5" s="232" t="s">
        <v>31</v>
      </c>
      <c r="B5" s="232"/>
      <c r="C5" s="232"/>
      <c r="D5" s="232"/>
      <c r="E5" s="232"/>
      <c r="F5" s="232"/>
      <c r="G5" s="232"/>
      <c r="H5" s="232"/>
      <c r="I5" s="232"/>
      <c r="J5" s="232"/>
      <c r="K5" s="23"/>
      <c r="L5" s="23"/>
    </row>
    <row r="6" spans="1:12" x14ac:dyDescent="0.25">
      <c r="A6" s="121" t="s">
        <v>2</v>
      </c>
      <c r="B6" s="702" t="s">
        <v>1</v>
      </c>
      <c r="C6" s="703"/>
      <c r="D6" s="704"/>
      <c r="E6" s="788">
        <v>1245.81</v>
      </c>
      <c r="F6" s="788"/>
      <c r="G6" s="788"/>
      <c r="H6" s="788"/>
      <c r="I6" s="788"/>
      <c r="J6" s="788"/>
      <c r="K6" s="23"/>
      <c r="L6" s="23"/>
    </row>
    <row r="7" spans="1:12" x14ac:dyDescent="0.25">
      <c r="A7" s="121" t="s">
        <v>7</v>
      </c>
      <c r="B7" s="702" t="s">
        <v>25</v>
      </c>
      <c r="C7" s="703"/>
      <c r="D7" s="704"/>
      <c r="E7" s="790"/>
      <c r="F7" s="791"/>
      <c r="G7" s="791"/>
      <c r="H7" s="791"/>
      <c r="I7" s="791"/>
      <c r="J7" s="792"/>
      <c r="K7" s="23"/>
      <c r="L7" s="23"/>
    </row>
    <row r="8" spans="1:12" x14ac:dyDescent="0.25">
      <c r="A8" s="121" t="s">
        <v>8</v>
      </c>
      <c r="B8" s="702" t="s">
        <v>26</v>
      </c>
      <c r="C8" s="703"/>
      <c r="D8" s="704"/>
      <c r="E8" s="790"/>
      <c r="F8" s="791"/>
      <c r="G8" s="791"/>
      <c r="H8" s="791"/>
      <c r="I8" s="791"/>
      <c r="J8" s="792"/>
      <c r="K8" s="23"/>
      <c r="L8" s="23"/>
    </row>
    <row r="9" spans="1:12" x14ac:dyDescent="0.25">
      <c r="A9" s="121" t="s">
        <v>9</v>
      </c>
      <c r="B9" s="702" t="s">
        <v>27</v>
      </c>
      <c r="C9" s="703"/>
      <c r="D9" s="704"/>
      <c r="E9" s="790"/>
      <c r="F9" s="791"/>
      <c r="G9" s="791"/>
      <c r="H9" s="791"/>
      <c r="I9" s="791"/>
      <c r="J9" s="792"/>
      <c r="K9" s="23"/>
      <c r="L9" s="23"/>
    </row>
    <row r="10" spans="1:12" x14ac:dyDescent="0.25">
      <c r="A10" s="121" t="s">
        <v>10</v>
      </c>
      <c r="B10" s="702" t="s">
        <v>28</v>
      </c>
      <c r="C10" s="703"/>
      <c r="D10" s="704"/>
      <c r="E10" s="788"/>
      <c r="F10" s="788"/>
      <c r="G10" s="788"/>
      <c r="H10" s="788"/>
      <c r="I10" s="788"/>
      <c r="J10" s="788"/>
      <c r="K10" s="23"/>
      <c r="L10" s="23"/>
    </row>
    <row r="11" spans="1:12" ht="15.75" thickBot="1" x14ac:dyDescent="0.3">
      <c r="A11" s="125" t="s">
        <v>11</v>
      </c>
      <c r="B11" s="709" t="s">
        <v>161</v>
      </c>
      <c r="C11" s="710"/>
      <c r="D11" s="711"/>
      <c r="E11" s="789">
        <f>1045*40%</f>
        <v>418</v>
      </c>
      <c r="F11" s="789"/>
      <c r="G11" s="789"/>
      <c r="H11" s="789"/>
      <c r="I11" s="789"/>
      <c r="J11" s="789"/>
      <c r="K11" s="23"/>
      <c r="L11" s="23"/>
    </row>
    <row r="12" spans="1:12" ht="15.75" thickBot="1" x14ac:dyDescent="0.3">
      <c r="A12" s="645" t="s">
        <v>330</v>
      </c>
      <c r="B12" s="646"/>
      <c r="C12" s="646"/>
      <c r="D12" s="745"/>
      <c r="E12" s="641">
        <f>SUM(E6:J11)</f>
        <v>1663.81</v>
      </c>
      <c r="F12" s="642"/>
      <c r="G12" s="642"/>
      <c r="H12" s="642"/>
      <c r="I12" s="642"/>
      <c r="J12" s="643"/>
      <c r="K12" s="23"/>
      <c r="L12" s="23"/>
    </row>
    <row r="13" spans="1:12" ht="28.5" customHeight="1" x14ac:dyDescent="0.25">
      <c r="A13" s="551" t="s">
        <v>29</v>
      </c>
      <c r="B13" s="715"/>
      <c r="C13" s="715"/>
      <c r="D13" s="716"/>
      <c r="E13" s="548">
        <f>E12*E30</f>
        <v>612.28208000000006</v>
      </c>
      <c r="F13" s="549"/>
      <c r="G13" s="549"/>
      <c r="H13" s="549"/>
      <c r="I13" s="549"/>
      <c r="J13" s="550"/>
      <c r="K13" s="23"/>
      <c r="L13" s="23"/>
    </row>
    <row r="14" spans="1:12" ht="11.25" customHeight="1" thickBot="1" x14ac:dyDescent="0.3">
      <c r="A14" s="267"/>
      <c r="B14" s="232"/>
      <c r="C14" s="232"/>
      <c r="D14" s="232"/>
      <c r="E14" s="232"/>
      <c r="F14" s="232"/>
      <c r="G14" s="232"/>
      <c r="H14" s="232"/>
      <c r="I14" s="232"/>
      <c r="J14" s="265"/>
      <c r="K14" s="23"/>
      <c r="L14" s="23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23"/>
    </row>
    <row r="16" spans="1:12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23"/>
    </row>
    <row r="17" spans="1:12" x14ac:dyDescent="0.25">
      <c r="A17" s="121" t="s">
        <v>2</v>
      </c>
      <c r="B17" s="265" t="s">
        <v>34</v>
      </c>
      <c r="C17" s="266"/>
      <c r="D17" s="267"/>
      <c r="E17" s="278">
        <v>8.3299999999999999E-2</v>
      </c>
      <c r="F17" s="279"/>
      <c r="G17" s="280"/>
      <c r="H17" s="271">
        <f>E17*E12</f>
        <v>138.595373</v>
      </c>
      <c r="I17" s="271"/>
      <c r="J17" s="271"/>
      <c r="K17" s="23"/>
      <c r="L17" s="23"/>
    </row>
    <row r="18" spans="1:12" x14ac:dyDescent="0.25">
      <c r="A18" s="121" t="s">
        <v>7</v>
      </c>
      <c r="B18" s="265" t="s">
        <v>35</v>
      </c>
      <c r="C18" s="266"/>
      <c r="D18" s="267"/>
      <c r="E18" s="268">
        <v>0.121</v>
      </c>
      <c r="F18" s="269"/>
      <c r="G18" s="270"/>
      <c r="H18" s="271">
        <f>E18*E12</f>
        <v>201.32101</v>
      </c>
      <c r="I18" s="271"/>
      <c r="J18" s="271"/>
      <c r="K18" s="23"/>
      <c r="L18" s="23"/>
    </row>
    <row r="19" spans="1:12" x14ac:dyDescent="0.25">
      <c r="A19" s="687" t="s">
        <v>36</v>
      </c>
      <c r="B19" s="688"/>
      <c r="C19" s="688"/>
      <c r="D19" s="688"/>
      <c r="E19" s="688"/>
      <c r="F19" s="688"/>
      <c r="G19" s="689"/>
      <c r="H19" s="690">
        <f>SUM(H17:J18)</f>
        <v>339.916383</v>
      </c>
      <c r="I19" s="690"/>
      <c r="J19" s="690"/>
      <c r="K19" s="23"/>
      <c r="L19" s="23"/>
    </row>
    <row r="20" spans="1:12" ht="30" customHeight="1" thickBot="1" x14ac:dyDescent="0.3">
      <c r="A20" s="123" t="s">
        <v>8</v>
      </c>
      <c r="B20" s="284" t="s">
        <v>37</v>
      </c>
      <c r="C20" s="285"/>
      <c r="D20" s="286"/>
      <c r="E20" s="287">
        <v>7.8200000000000006E-2</v>
      </c>
      <c r="F20" s="288"/>
      <c r="G20" s="289"/>
      <c r="H20" s="290">
        <f>E12*E20</f>
        <v>130.10994200000002</v>
      </c>
      <c r="I20" s="291"/>
      <c r="J20" s="292"/>
      <c r="K20" s="23"/>
      <c r="L20" s="23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23"/>
    </row>
    <row r="22" spans="1:12" x14ac:dyDescent="0.25">
      <c r="A22" s="265" t="s">
        <v>2</v>
      </c>
      <c r="B22" s="267"/>
      <c r="C22" s="676" t="s">
        <v>3</v>
      </c>
      <c r="D22" s="677"/>
      <c r="E22" s="678">
        <v>0.2</v>
      </c>
      <c r="F22" s="678"/>
      <c r="G22" s="678"/>
      <c r="H22" s="271">
        <f>E22*(E12+H19)</f>
        <v>400.74527660000001</v>
      </c>
      <c r="I22" s="271"/>
      <c r="J22" s="271"/>
      <c r="K22" s="23"/>
      <c r="L22" s="23"/>
    </row>
    <row r="23" spans="1:12" x14ac:dyDescent="0.25">
      <c r="A23" s="265" t="s">
        <v>7</v>
      </c>
      <c r="B23" s="267"/>
      <c r="C23" s="265" t="s">
        <v>41</v>
      </c>
      <c r="D23" s="267"/>
      <c r="E23" s="672">
        <v>2.5000000000000001E-2</v>
      </c>
      <c r="F23" s="672"/>
      <c r="G23" s="672"/>
      <c r="H23" s="271">
        <f>E23*(E12+H19)</f>
        <v>50.093159575000001</v>
      </c>
      <c r="I23" s="271"/>
      <c r="J23" s="271"/>
      <c r="K23" s="23"/>
      <c r="L23" s="23"/>
    </row>
    <row r="24" spans="1:12" x14ac:dyDescent="0.25">
      <c r="A24" s="265" t="s">
        <v>8</v>
      </c>
      <c r="B24" s="267"/>
      <c r="C24" s="684" t="s">
        <v>42</v>
      </c>
      <c r="D24" s="685"/>
      <c r="E24" s="686">
        <v>0.03</v>
      </c>
      <c r="F24" s="686"/>
      <c r="G24" s="686"/>
      <c r="H24" s="271">
        <f>E24*(E12+H19)</f>
        <v>60.111791489999995</v>
      </c>
      <c r="I24" s="271"/>
      <c r="J24" s="271"/>
      <c r="K24" s="23"/>
      <c r="L24" s="23"/>
    </row>
    <row r="25" spans="1:12" x14ac:dyDescent="0.25">
      <c r="A25" s="265" t="s">
        <v>9</v>
      </c>
      <c r="B25" s="267"/>
      <c r="C25" s="265" t="s">
        <v>43</v>
      </c>
      <c r="D25" s="267"/>
      <c r="E25" s="672">
        <v>1.4999999999999999E-2</v>
      </c>
      <c r="F25" s="672"/>
      <c r="G25" s="672"/>
      <c r="H25" s="271">
        <f>E25*(E12+H19)</f>
        <v>30.055895744999997</v>
      </c>
      <c r="I25" s="271"/>
      <c r="J25" s="271"/>
      <c r="K25" s="23"/>
      <c r="L25" s="23"/>
    </row>
    <row r="26" spans="1:12" x14ac:dyDescent="0.25">
      <c r="A26" s="265" t="s">
        <v>10</v>
      </c>
      <c r="B26" s="267"/>
      <c r="C26" s="265" t="s">
        <v>44</v>
      </c>
      <c r="D26" s="267"/>
      <c r="E26" s="672">
        <v>0.01</v>
      </c>
      <c r="F26" s="672"/>
      <c r="G26" s="672"/>
      <c r="H26" s="271">
        <f>E26*(E12+H19)</f>
        <v>20.037263830000001</v>
      </c>
      <c r="I26" s="271"/>
      <c r="J26" s="271"/>
      <c r="K26" s="23"/>
      <c r="L26" s="23"/>
    </row>
    <row r="27" spans="1:12" x14ac:dyDescent="0.25">
      <c r="A27" s="265" t="s">
        <v>11</v>
      </c>
      <c r="B27" s="267"/>
      <c r="C27" s="265" t="s">
        <v>6</v>
      </c>
      <c r="D27" s="267"/>
      <c r="E27" s="672">
        <v>6.0000000000000001E-3</v>
      </c>
      <c r="F27" s="672"/>
      <c r="G27" s="672"/>
      <c r="H27" s="271">
        <f>E27*(E12+H19)</f>
        <v>12.022358298</v>
      </c>
      <c r="I27" s="271"/>
      <c r="J27" s="271"/>
      <c r="K27" s="23"/>
      <c r="L27" s="23"/>
    </row>
    <row r="28" spans="1:12" x14ac:dyDescent="0.25">
      <c r="A28" s="265" t="s">
        <v>39</v>
      </c>
      <c r="B28" s="267"/>
      <c r="C28" s="265" t="s">
        <v>5</v>
      </c>
      <c r="D28" s="267"/>
      <c r="E28" s="672">
        <v>2E-3</v>
      </c>
      <c r="F28" s="672"/>
      <c r="G28" s="672"/>
      <c r="H28" s="271">
        <f>E28*(E12+H19)</f>
        <v>4.0074527660000001</v>
      </c>
      <c r="I28" s="271"/>
      <c r="J28" s="271"/>
      <c r="K28" s="23"/>
      <c r="L28" s="23"/>
    </row>
    <row r="29" spans="1:12" x14ac:dyDescent="0.25">
      <c r="A29" s="679" t="s">
        <v>40</v>
      </c>
      <c r="B29" s="680"/>
      <c r="C29" s="265" t="s">
        <v>4</v>
      </c>
      <c r="D29" s="266"/>
      <c r="E29" s="681">
        <v>0.08</v>
      </c>
      <c r="F29" s="682"/>
      <c r="G29" s="683"/>
      <c r="H29" s="271">
        <f>E29*(E12+H19)</f>
        <v>160.29811064</v>
      </c>
      <c r="I29" s="271"/>
      <c r="J29" s="271"/>
      <c r="K29" s="23"/>
      <c r="L29" s="23"/>
    </row>
    <row r="30" spans="1:12" ht="15.75" thickBot="1" x14ac:dyDescent="0.3">
      <c r="A30" s="656" t="s">
        <v>36</v>
      </c>
      <c r="B30" s="656"/>
      <c r="C30" s="656"/>
      <c r="D30" s="656"/>
      <c r="E30" s="657">
        <f>SUM(E22:G29)</f>
        <v>0.36800000000000005</v>
      </c>
      <c r="F30" s="658"/>
      <c r="G30" s="659"/>
      <c r="H30" s="660">
        <f>SUM(H22:J29)</f>
        <v>737.37130894400002</v>
      </c>
      <c r="I30" s="660"/>
      <c r="J30" s="660"/>
      <c r="K30" s="23"/>
      <c r="L30" s="23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23"/>
    </row>
    <row r="32" spans="1:12" x14ac:dyDescent="0.25">
      <c r="A32" s="265" t="s">
        <v>2</v>
      </c>
      <c r="B32" s="267"/>
      <c r="C32" s="676" t="s">
        <v>46</v>
      </c>
      <c r="D32" s="677"/>
      <c r="E32" s="678"/>
      <c r="F32" s="678"/>
      <c r="G32" s="678"/>
      <c r="H32" s="271">
        <f>(3.9*2*25.5)-6%*E6</f>
        <v>124.15140000000001</v>
      </c>
      <c r="I32" s="271"/>
      <c r="J32" s="271"/>
      <c r="K32" s="23"/>
      <c r="L32" s="23"/>
    </row>
    <row r="33" spans="1:12" x14ac:dyDescent="0.25">
      <c r="A33" s="265" t="s">
        <v>7</v>
      </c>
      <c r="B33" s="267"/>
      <c r="C33" s="265" t="s">
        <v>47</v>
      </c>
      <c r="D33" s="267"/>
      <c r="E33" s="672"/>
      <c r="F33" s="672"/>
      <c r="G33" s="672"/>
      <c r="H33" s="271">
        <f>(13.13*25.5)</f>
        <v>334.815</v>
      </c>
      <c r="I33" s="271"/>
      <c r="J33" s="271"/>
      <c r="K33" s="23"/>
      <c r="L33" s="23"/>
    </row>
    <row r="34" spans="1:12" x14ac:dyDescent="0.25">
      <c r="A34" s="265" t="s">
        <v>8</v>
      </c>
      <c r="B34" s="267"/>
      <c r="C34" s="284" t="s">
        <v>176</v>
      </c>
      <c r="D34" s="286"/>
      <c r="E34" s="672"/>
      <c r="F34" s="672"/>
      <c r="G34" s="672"/>
      <c r="H34" s="271">
        <v>204.21</v>
      </c>
      <c r="I34" s="271"/>
      <c r="J34" s="271"/>
      <c r="K34" s="23"/>
      <c r="L34" s="23"/>
    </row>
    <row r="35" spans="1:12" x14ac:dyDescent="0.25">
      <c r="A35" s="265" t="s">
        <v>9</v>
      </c>
      <c r="B35" s="267"/>
      <c r="C35" s="342" t="s">
        <v>28</v>
      </c>
      <c r="D35" s="343"/>
      <c r="E35" s="672"/>
      <c r="F35" s="672"/>
      <c r="G35" s="672"/>
      <c r="H35" s="271">
        <v>25.95</v>
      </c>
      <c r="I35" s="271"/>
      <c r="J35" s="271"/>
      <c r="K35" s="23"/>
      <c r="L35" s="23"/>
    </row>
    <row r="36" spans="1:12" ht="15.75" thickBot="1" x14ac:dyDescent="0.3">
      <c r="A36" s="673" t="s">
        <v>38</v>
      </c>
      <c r="B36" s="674"/>
      <c r="C36" s="674"/>
      <c r="D36" s="674"/>
      <c r="E36" s="674"/>
      <c r="F36" s="674"/>
      <c r="G36" s="675"/>
      <c r="H36" s="655">
        <f>SUM(H32:J35)</f>
        <v>689.1264000000001</v>
      </c>
      <c r="I36" s="655"/>
      <c r="J36" s="655"/>
      <c r="K36" s="23"/>
      <c r="L36" s="23"/>
    </row>
    <row r="37" spans="1:12" ht="15.75" thickBot="1" x14ac:dyDescent="0.3">
      <c r="A37" s="645" t="s">
        <v>72</v>
      </c>
      <c r="B37" s="646"/>
      <c r="C37" s="646"/>
      <c r="D37" s="647"/>
      <c r="E37" s="648">
        <f>H19+H30+H36</f>
        <v>1766.4140919440001</v>
      </c>
      <c r="F37" s="649"/>
      <c r="G37" s="649"/>
      <c r="H37" s="649"/>
      <c r="I37" s="649"/>
      <c r="J37" s="650"/>
      <c r="K37" s="23"/>
      <c r="L37" s="23"/>
    </row>
    <row r="38" spans="1:12" ht="11.25" customHeight="1" thickBot="1" x14ac:dyDescent="0.3">
      <c r="A38" s="670"/>
      <c r="B38" s="670"/>
      <c r="C38" s="670"/>
      <c r="D38" s="670"/>
      <c r="E38" s="670"/>
      <c r="F38" s="670"/>
      <c r="G38" s="670"/>
      <c r="H38" s="670"/>
      <c r="I38" s="670"/>
      <c r="J38" s="670"/>
      <c r="K38" s="23"/>
      <c r="L38" s="23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23"/>
    </row>
    <row r="40" spans="1:12" x14ac:dyDescent="0.25">
      <c r="A40" s="314" t="s">
        <v>2</v>
      </c>
      <c r="B40" s="315"/>
      <c r="C40" s="314" t="s">
        <v>51</v>
      </c>
      <c r="D40" s="315"/>
      <c r="E40" s="49"/>
      <c r="F40" s="51"/>
      <c r="G40" s="50"/>
      <c r="H40" s="316">
        <f>E12/12*5%</f>
        <v>6.9325416666666673</v>
      </c>
      <c r="I40" s="317"/>
      <c r="J40" s="315"/>
      <c r="K40" s="23"/>
      <c r="L40" s="23"/>
    </row>
    <row r="41" spans="1:12" x14ac:dyDescent="0.25">
      <c r="A41" s="314" t="s">
        <v>7</v>
      </c>
      <c r="B41" s="315"/>
      <c r="C41" s="314" t="s">
        <v>52</v>
      </c>
      <c r="D41" s="315"/>
      <c r="E41" s="49"/>
      <c r="F41" s="51"/>
      <c r="G41" s="50"/>
      <c r="H41" s="316">
        <f>H40*8%</f>
        <v>0.55460333333333345</v>
      </c>
      <c r="I41" s="317"/>
      <c r="J41" s="315"/>
      <c r="K41" s="23"/>
      <c r="L41" s="23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271">
        <f>E42*E12</f>
        <v>0</v>
      </c>
      <c r="I42" s="271"/>
      <c r="J42" s="271"/>
      <c r="K42" s="23"/>
      <c r="L42" s="23"/>
    </row>
    <row r="43" spans="1:12" x14ac:dyDescent="0.25">
      <c r="A43" s="232" t="s">
        <v>9</v>
      </c>
      <c r="B43" s="232"/>
      <c r="C43" s="265" t="s">
        <v>54</v>
      </c>
      <c r="D43" s="267"/>
      <c r="E43" s="341"/>
      <c r="F43" s="341"/>
      <c r="G43" s="341"/>
      <c r="H43" s="271">
        <f>E12/30/12*7*100%</f>
        <v>32.351861111111113</v>
      </c>
      <c r="I43" s="271"/>
      <c r="J43" s="271"/>
      <c r="K43" s="23"/>
      <c r="L43" s="23"/>
    </row>
    <row r="44" spans="1:12" ht="30.75" customHeight="1" x14ac:dyDescent="0.25">
      <c r="A44" s="232" t="s">
        <v>10</v>
      </c>
      <c r="B44" s="232"/>
      <c r="C44" s="342" t="s">
        <v>83</v>
      </c>
      <c r="D44" s="343"/>
      <c r="E44" s="341"/>
      <c r="F44" s="341"/>
      <c r="G44" s="341"/>
      <c r="H44" s="271">
        <f>H43*39.8%</f>
        <v>12.876040722222221</v>
      </c>
      <c r="I44" s="271"/>
      <c r="J44" s="271"/>
      <c r="K44" s="23"/>
      <c r="L44" s="23"/>
    </row>
    <row r="45" spans="1:12" ht="30.75" customHeight="1" thickBot="1" x14ac:dyDescent="0.3">
      <c r="A45" s="634" t="s">
        <v>11</v>
      </c>
      <c r="B45" s="635"/>
      <c r="C45" s="755" t="s">
        <v>53</v>
      </c>
      <c r="D45" s="756"/>
      <c r="E45" s="663"/>
      <c r="F45" s="664"/>
      <c r="G45" s="665"/>
      <c r="H45" s="666">
        <f>E12*5%</f>
        <v>83.1905</v>
      </c>
      <c r="I45" s="667"/>
      <c r="J45" s="668"/>
      <c r="K45" s="23"/>
      <c r="L45" s="23"/>
    </row>
    <row r="46" spans="1:12" ht="15.75" thickBot="1" x14ac:dyDescent="0.3">
      <c r="A46" s="638" t="s">
        <v>333</v>
      </c>
      <c r="B46" s="639"/>
      <c r="C46" s="639"/>
      <c r="D46" s="639"/>
      <c r="E46" s="639"/>
      <c r="F46" s="639"/>
      <c r="G46" s="640"/>
      <c r="H46" s="641">
        <f>SUM(H40:J45)</f>
        <v>135.90554683333335</v>
      </c>
      <c r="I46" s="642"/>
      <c r="J46" s="643"/>
      <c r="K46" s="23"/>
      <c r="L46" s="23"/>
    </row>
    <row r="47" spans="1:12" ht="9" customHeight="1" thickBot="1" x14ac:dyDescent="0.3">
      <c r="E47" s="17"/>
      <c r="F47" s="17"/>
      <c r="G47" s="17"/>
      <c r="H47" s="18"/>
      <c r="I47" s="18"/>
      <c r="J47" s="18"/>
      <c r="K47" s="23"/>
      <c r="L47" s="23"/>
    </row>
    <row r="48" spans="1:12" ht="33" customHeight="1" thickBot="1" x14ac:dyDescent="0.3">
      <c r="A48" s="494" t="s">
        <v>128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23"/>
    </row>
    <row r="49" spans="1:12" x14ac:dyDescent="0.25">
      <c r="A49" s="314" t="s">
        <v>2</v>
      </c>
      <c r="B49" s="315"/>
      <c r="C49" s="314" t="s">
        <v>56</v>
      </c>
      <c r="D49" s="315"/>
      <c r="E49" s="49"/>
      <c r="F49" s="51"/>
      <c r="G49" s="50"/>
      <c r="H49" s="316">
        <f>E20/12*5%</f>
        <v>3.2583333333333336E-4</v>
      </c>
      <c r="I49" s="317"/>
      <c r="J49" s="315"/>
      <c r="K49" s="23"/>
      <c r="L49" s="23"/>
    </row>
    <row r="50" spans="1:12" x14ac:dyDescent="0.25">
      <c r="A50" s="314" t="s">
        <v>7</v>
      </c>
      <c r="B50" s="315"/>
      <c r="C50" s="314" t="s">
        <v>57</v>
      </c>
      <c r="D50" s="315"/>
      <c r="E50" s="49"/>
      <c r="F50" s="51"/>
      <c r="G50" s="50"/>
      <c r="H50" s="316">
        <f>E12/30/12</f>
        <v>4.6216944444444445</v>
      </c>
      <c r="I50" s="317"/>
      <c r="J50" s="315"/>
      <c r="K50" s="23"/>
      <c r="L50" s="23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271">
        <f>E12/30/12*5*1.5%</f>
        <v>0.34662708333333331</v>
      </c>
      <c r="I51" s="271"/>
      <c r="J51" s="271"/>
      <c r="K51" s="23"/>
      <c r="L51" s="23"/>
    </row>
    <row r="52" spans="1:12" ht="31.5" customHeight="1" x14ac:dyDescent="0.25">
      <c r="A52" s="232" t="s">
        <v>9</v>
      </c>
      <c r="B52" s="232"/>
      <c r="C52" s="661" t="s">
        <v>59</v>
      </c>
      <c r="D52" s="662"/>
      <c r="E52" s="341"/>
      <c r="F52" s="341"/>
      <c r="G52" s="341"/>
      <c r="H52" s="271">
        <f>E12/30/12*15*8%</f>
        <v>5.5460333333333338</v>
      </c>
      <c r="I52" s="271"/>
      <c r="J52" s="271"/>
      <c r="K52" s="23"/>
      <c r="L52" s="23"/>
    </row>
    <row r="53" spans="1:12" x14ac:dyDescent="0.25">
      <c r="A53" s="232" t="s">
        <v>10</v>
      </c>
      <c r="B53" s="232"/>
      <c r="C53" s="342" t="s">
        <v>60</v>
      </c>
      <c r="D53" s="343"/>
      <c r="E53" s="341"/>
      <c r="F53" s="341"/>
      <c r="G53" s="341"/>
      <c r="H53" s="271">
        <f>E20*5%</f>
        <v>3.9100000000000003E-3</v>
      </c>
      <c r="I53" s="271"/>
      <c r="J53" s="271"/>
      <c r="K53" s="23"/>
      <c r="L53" s="23"/>
    </row>
    <row r="54" spans="1:12" x14ac:dyDescent="0.25">
      <c r="A54" s="232" t="s">
        <v>11</v>
      </c>
      <c r="B54" s="232"/>
      <c r="C54" s="342" t="s">
        <v>61</v>
      </c>
      <c r="D54" s="343"/>
      <c r="E54" s="341"/>
      <c r="F54" s="341"/>
      <c r="G54" s="341"/>
      <c r="H54" s="271">
        <f>E12/30/12*5*40%</f>
        <v>9.2433888888888891</v>
      </c>
      <c r="I54" s="271"/>
      <c r="J54" s="271"/>
      <c r="K54" s="23"/>
      <c r="L54" s="23"/>
    </row>
    <row r="55" spans="1:12" ht="30" customHeight="1" x14ac:dyDescent="0.25">
      <c r="A55" s="232" t="s">
        <v>39</v>
      </c>
      <c r="B55" s="232"/>
      <c r="C55" s="342" t="s">
        <v>62</v>
      </c>
      <c r="D55" s="343"/>
      <c r="E55" s="341"/>
      <c r="F55" s="341"/>
      <c r="G55" s="341"/>
      <c r="H55" s="271">
        <f>SUM(H49:J54)*39.8%</f>
        <v>7.8652678741666655</v>
      </c>
      <c r="I55" s="271"/>
      <c r="J55" s="271"/>
      <c r="K55" s="23"/>
      <c r="L55" s="23"/>
    </row>
    <row r="56" spans="1:12" ht="15.75" thickBot="1" x14ac:dyDescent="0.3">
      <c r="A56" s="656" t="s">
        <v>36</v>
      </c>
      <c r="B56" s="656"/>
      <c r="C56" s="656"/>
      <c r="D56" s="656"/>
      <c r="E56" s="657"/>
      <c r="F56" s="658"/>
      <c r="G56" s="659"/>
      <c r="H56" s="660">
        <f>SUM(H49:J55)</f>
        <v>27.627247457499998</v>
      </c>
      <c r="I56" s="660"/>
      <c r="J56" s="660"/>
      <c r="K56" s="23"/>
      <c r="L56" s="23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23"/>
    </row>
    <row r="58" spans="1:12" ht="32.25" customHeight="1" x14ac:dyDescent="0.25">
      <c r="A58" s="314" t="s">
        <v>2</v>
      </c>
      <c r="B58" s="315"/>
      <c r="C58" s="344" t="s">
        <v>64</v>
      </c>
      <c r="D58" s="345"/>
      <c r="E58" s="49"/>
      <c r="F58" s="51"/>
      <c r="G58" s="50"/>
      <c r="H58" s="316">
        <f>((((E12+(E12/3))*0.3333)/12)*2%)</f>
        <v>1.2323286066666668</v>
      </c>
      <c r="I58" s="317"/>
      <c r="J58" s="315"/>
      <c r="K58" s="23"/>
      <c r="L58" s="23"/>
    </row>
    <row r="59" spans="1:12" ht="31.5" customHeight="1" x14ac:dyDescent="0.25">
      <c r="A59" s="314" t="s">
        <v>7</v>
      </c>
      <c r="B59" s="315"/>
      <c r="C59" s="344" t="s">
        <v>65</v>
      </c>
      <c r="D59" s="345"/>
      <c r="E59" s="49"/>
      <c r="F59" s="51"/>
      <c r="G59" s="50"/>
      <c r="H59" s="316">
        <f>H58*39.8%</f>
        <v>0.49046678545333333</v>
      </c>
      <c r="I59" s="317"/>
      <c r="J59" s="315"/>
      <c r="K59" s="23"/>
      <c r="L59" s="23"/>
    </row>
    <row r="60" spans="1:12" ht="45" customHeight="1" x14ac:dyDescent="0.25">
      <c r="A60" s="318" t="s">
        <v>8</v>
      </c>
      <c r="B60" s="319"/>
      <c r="C60" s="344" t="s">
        <v>66</v>
      </c>
      <c r="D60" s="345"/>
      <c r="E60" s="322"/>
      <c r="F60" s="323"/>
      <c r="G60" s="324"/>
      <c r="H60" s="271">
        <f>(((E12+H17)*0.333)*2%)*39.8%</f>
        <v>4.7775998741036396</v>
      </c>
      <c r="I60" s="271"/>
      <c r="J60" s="271"/>
      <c r="K60" s="23"/>
      <c r="L60" s="23"/>
    </row>
    <row r="61" spans="1:12" x14ac:dyDescent="0.25">
      <c r="A61" s="232" t="s">
        <v>9</v>
      </c>
      <c r="B61" s="232"/>
      <c r="C61" s="265" t="s">
        <v>67</v>
      </c>
      <c r="D61" s="267"/>
      <c r="E61" s="341"/>
      <c r="F61" s="341"/>
      <c r="G61" s="341"/>
      <c r="H61" s="271"/>
      <c r="I61" s="271"/>
      <c r="J61" s="271"/>
      <c r="K61" s="23"/>
      <c r="L61" s="23"/>
    </row>
    <row r="62" spans="1:12" ht="15.75" thickBot="1" x14ac:dyDescent="0.3">
      <c r="A62" s="656" t="s">
        <v>36</v>
      </c>
      <c r="B62" s="656"/>
      <c r="C62" s="656"/>
      <c r="D62" s="656"/>
      <c r="E62" s="657"/>
      <c r="F62" s="658"/>
      <c r="G62" s="659"/>
      <c r="H62" s="660">
        <f>SUM(H58:J61)</f>
        <v>6.5003952662236397</v>
      </c>
      <c r="I62" s="660"/>
      <c r="J62" s="660"/>
      <c r="K62" s="23"/>
      <c r="L62" s="23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23"/>
    </row>
    <row r="64" spans="1:12" ht="33" customHeight="1" x14ac:dyDescent="0.25">
      <c r="A64" s="314" t="s">
        <v>2</v>
      </c>
      <c r="B64" s="315"/>
      <c r="C64" s="344" t="s">
        <v>69</v>
      </c>
      <c r="D64" s="345"/>
      <c r="E64" s="49"/>
      <c r="F64" s="51"/>
      <c r="G64" s="50"/>
      <c r="H64" s="316">
        <f>((((E18+(E18/3))*0.3333)/12)*2%)</f>
        <v>8.9620666666666654E-5</v>
      </c>
      <c r="I64" s="317"/>
      <c r="J64" s="315"/>
      <c r="K64" s="23"/>
      <c r="L64" s="23"/>
    </row>
    <row r="65" spans="1:12" ht="29.25" customHeight="1" x14ac:dyDescent="0.25">
      <c r="A65" s="314" t="s">
        <v>7</v>
      </c>
      <c r="B65" s="315"/>
      <c r="C65" s="344" t="s">
        <v>70</v>
      </c>
      <c r="D65" s="345"/>
      <c r="E65" s="49"/>
      <c r="F65" s="51"/>
      <c r="G65" s="50"/>
      <c r="H65" s="316">
        <f>H64*39.8%</f>
        <v>3.5669025333333325E-5</v>
      </c>
      <c r="I65" s="317"/>
      <c r="J65" s="315"/>
      <c r="K65" s="23"/>
      <c r="L65" s="23"/>
    </row>
    <row r="66" spans="1:12" ht="15.75" thickBot="1" x14ac:dyDescent="0.3">
      <c r="A66" s="651" t="s">
        <v>36</v>
      </c>
      <c r="B66" s="651"/>
      <c r="C66" s="651"/>
      <c r="D66" s="651"/>
      <c r="E66" s="652"/>
      <c r="F66" s="653"/>
      <c r="G66" s="654"/>
      <c r="H66" s="655">
        <f>SUM(H64:J65)</f>
        <v>1.2528969199999997E-4</v>
      </c>
      <c r="I66" s="655"/>
      <c r="J66" s="655"/>
      <c r="K66" s="23"/>
      <c r="L66" s="23"/>
    </row>
    <row r="67" spans="1:12" ht="15.75" thickBot="1" x14ac:dyDescent="0.3">
      <c r="A67" s="645" t="s">
        <v>71</v>
      </c>
      <c r="B67" s="646"/>
      <c r="C67" s="646"/>
      <c r="D67" s="647"/>
      <c r="E67" s="648">
        <f>H66+H62+H56</f>
        <v>34.12776801341564</v>
      </c>
      <c r="F67" s="649"/>
      <c r="G67" s="649"/>
      <c r="H67" s="649"/>
      <c r="I67" s="649"/>
      <c r="J67" s="650"/>
      <c r="K67" s="23"/>
      <c r="L67" s="23"/>
    </row>
    <row r="68" spans="1:12" ht="11.25" customHeight="1" thickBo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  <c r="L68" s="23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23"/>
    </row>
    <row r="70" spans="1:12" x14ac:dyDescent="0.25">
      <c r="A70" s="314" t="s">
        <v>2</v>
      </c>
      <c r="B70" s="315"/>
      <c r="C70" s="314" t="s">
        <v>74</v>
      </c>
      <c r="D70" s="315"/>
      <c r="E70" s="314"/>
      <c r="F70" s="317"/>
      <c r="G70" s="315"/>
      <c r="H70" s="316">
        <v>300</v>
      </c>
      <c r="I70" s="317"/>
      <c r="J70" s="315"/>
      <c r="K70" s="23"/>
      <c r="L70" s="23"/>
    </row>
    <row r="71" spans="1:12" x14ac:dyDescent="0.25">
      <c r="A71" s="314" t="s">
        <v>7</v>
      </c>
      <c r="B71" s="315"/>
      <c r="C71" s="314" t="s">
        <v>75</v>
      </c>
      <c r="D71" s="315"/>
      <c r="E71" s="49"/>
      <c r="F71" s="51"/>
      <c r="G71" s="50"/>
      <c r="H71" s="316">
        <v>5</v>
      </c>
      <c r="I71" s="317"/>
      <c r="J71" s="315"/>
      <c r="K71" s="23"/>
      <c r="L71" s="23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271">
        <v>43.5</v>
      </c>
      <c r="I72" s="271"/>
      <c r="J72" s="271"/>
      <c r="K72" s="23"/>
      <c r="L72" s="23"/>
    </row>
    <row r="73" spans="1:12" ht="15.75" thickBot="1" x14ac:dyDescent="0.3">
      <c r="A73" s="633" t="s">
        <v>9</v>
      </c>
      <c r="B73" s="633"/>
      <c r="C73" s="634" t="s">
        <v>28</v>
      </c>
      <c r="D73" s="635"/>
      <c r="E73" s="636"/>
      <c r="F73" s="636"/>
      <c r="G73" s="636"/>
      <c r="H73" s="637">
        <v>25</v>
      </c>
      <c r="I73" s="637"/>
      <c r="J73" s="637"/>
      <c r="K73" s="23"/>
      <c r="L73" s="23"/>
    </row>
    <row r="74" spans="1:12" ht="15.75" thickBot="1" x14ac:dyDescent="0.3">
      <c r="A74" s="638" t="s">
        <v>336</v>
      </c>
      <c r="B74" s="639"/>
      <c r="C74" s="639"/>
      <c r="D74" s="639"/>
      <c r="E74" s="639"/>
      <c r="F74" s="639"/>
      <c r="G74" s="639"/>
      <c r="H74" s="641">
        <f>SUM(H70:J73)</f>
        <v>373.5</v>
      </c>
      <c r="I74" s="642"/>
      <c r="J74" s="643"/>
      <c r="K74" s="23"/>
      <c r="L74" s="23"/>
    </row>
    <row r="75" spans="1:12" ht="9" customHeight="1" thickBot="1" x14ac:dyDescent="0.3">
      <c r="E75" s="17"/>
      <c r="F75" s="17"/>
      <c r="G75" s="17"/>
      <c r="H75" s="18"/>
      <c r="I75" s="18"/>
      <c r="J75" s="18"/>
      <c r="K75" s="23"/>
      <c r="L75" s="23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23"/>
    </row>
    <row r="77" spans="1:12" x14ac:dyDescent="0.25">
      <c r="A77" s="314" t="s">
        <v>2</v>
      </c>
      <c r="B77" s="315"/>
      <c r="C77" s="314" t="s">
        <v>77</v>
      </c>
      <c r="D77" s="315"/>
      <c r="E77" s="644">
        <v>7.0000000000000007E-2</v>
      </c>
      <c r="F77" s="317"/>
      <c r="G77" s="315"/>
      <c r="H77" s="316">
        <f>(H74+E67+H46+E37+E12)*E77</f>
        <v>278.16301847535243</v>
      </c>
      <c r="I77" s="317"/>
      <c r="J77" s="315"/>
      <c r="K77" s="23"/>
      <c r="L77" s="23"/>
    </row>
    <row r="78" spans="1:12" x14ac:dyDescent="0.25">
      <c r="A78" s="314" t="s">
        <v>7</v>
      </c>
      <c r="B78" s="315"/>
      <c r="C78" s="314" t="s">
        <v>12</v>
      </c>
      <c r="D78" s="315"/>
      <c r="E78" s="644">
        <v>7.5774185115783349E-2</v>
      </c>
      <c r="F78" s="317"/>
      <c r="G78" s="315"/>
      <c r="H78" s="316">
        <f>E78*(H74+E67+H46+E37+E12)</f>
        <v>301.1082293473774</v>
      </c>
      <c r="I78" s="317"/>
      <c r="J78" s="315"/>
      <c r="K78" s="23"/>
      <c r="L78" s="23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271">
        <f>(H74+E67+H46+E37+E12)/E79</f>
        <v>4634.1194248288612</v>
      </c>
      <c r="I79" s="271"/>
      <c r="J79" s="271"/>
      <c r="K79" s="23"/>
      <c r="L79" s="23"/>
    </row>
    <row r="80" spans="1:12" x14ac:dyDescent="0.25">
      <c r="A80" s="232" t="s">
        <v>9</v>
      </c>
      <c r="B80" s="232"/>
      <c r="C80" s="265" t="s">
        <v>79</v>
      </c>
      <c r="D80" s="267"/>
      <c r="E80" s="341">
        <v>1.6500000000000001E-2</v>
      </c>
      <c r="F80" s="341"/>
      <c r="G80" s="341"/>
      <c r="H80" s="271">
        <f>E80*H87</f>
        <v>54.550980000000003</v>
      </c>
      <c r="I80" s="271"/>
      <c r="J80" s="271"/>
      <c r="K80" s="23"/>
      <c r="L80" s="23"/>
    </row>
    <row r="81" spans="1:12" x14ac:dyDescent="0.25">
      <c r="A81" s="232" t="s">
        <v>9</v>
      </c>
      <c r="B81" s="232"/>
      <c r="C81" s="265" t="s">
        <v>80</v>
      </c>
      <c r="D81" s="267"/>
      <c r="E81" s="341">
        <v>7.5999999999999998E-2</v>
      </c>
      <c r="F81" s="341"/>
      <c r="G81" s="341"/>
      <c r="H81" s="271">
        <f>E81*H87</f>
        <v>251.26512</v>
      </c>
      <c r="I81" s="271"/>
      <c r="J81" s="271"/>
      <c r="K81" s="23"/>
      <c r="L81" s="23"/>
    </row>
    <row r="82" spans="1:12" x14ac:dyDescent="0.25">
      <c r="A82" s="232" t="s">
        <v>10</v>
      </c>
      <c r="B82" s="232"/>
      <c r="C82" s="265" t="s">
        <v>81</v>
      </c>
      <c r="D82" s="267"/>
      <c r="E82" s="341"/>
      <c r="F82" s="341"/>
      <c r="G82" s="341"/>
      <c r="H82" s="271"/>
      <c r="I82" s="271"/>
      <c r="J82" s="271"/>
      <c r="K82" s="23"/>
      <c r="L82" s="23"/>
    </row>
    <row r="83" spans="1:12" ht="15.75" thickBot="1" x14ac:dyDescent="0.3">
      <c r="A83" s="633" t="s">
        <v>11</v>
      </c>
      <c r="B83" s="633"/>
      <c r="C83" s="634" t="s">
        <v>82</v>
      </c>
      <c r="D83" s="635"/>
      <c r="E83" s="636">
        <v>0.05</v>
      </c>
      <c r="F83" s="636"/>
      <c r="G83" s="636"/>
      <c r="H83" s="637">
        <f>E83*H87</f>
        <v>165.30600000000001</v>
      </c>
      <c r="I83" s="637"/>
      <c r="J83" s="637"/>
      <c r="K83" s="23"/>
      <c r="L83" s="23"/>
    </row>
    <row r="84" spans="1:12" ht="15.75" customHeight="1" thickBot="1" x14ac:dyDescent="0.3">
      <c r="A84" s="638" t="s">
        <v>340</v>
      </c>
      <c r="B84" s="639"/>
      <c r="C84" s="639"/>
      <c r="D84" s="639"/>
      <c r="E84" s="639"/>
      <c r="F84" s="639"/>
      <c r="G84" s="639"/>
      <c r="H84" s="641">
        <f>H77+H78+H80+H81+H83</f>
        <v>1050.3933478227298</v>
      </c>
      <c r="I84" s="642"/>
      <c r="J84" s="643"/>
      <c r="K84" s="23"/>
      <c r="L84" s="23"/>
    </row>
    <row r="85" spans="1:12" ht="11.25" customHeight="1" thickBot="1" x14ac:dyDescent="0.3">
      <c r="E85" s="17"/>
      <c r="F85" s="17"/>
      <c r="G85" s="17"/>
      <c r="H85" s="18"/>
      <c r="I85" s="18"/>
      <c r="J85" s="18"/>
      <c r="K85" s="23"/>
      <c r="L85" s="23"/>
    </row>
    <row r="86" spans="1:12" ht="15.75" thickBot="1" x14ac:dyDescent="0.3">
      <c r="A86" s="627" t="s">
        <v>85</v>
      </c>
      <c r="B86" s="628"/>
      <c r="C86" s="628"/>
      <c r="D86" s="628"/>
      <c r="E86" s="628"/>
      <c r="F86" s="628"/>
      <c r="G86" s="629"/>
      <c r="H86" s="757">
        <f>SUM(H84+H74+E67+H46+E37+E12)</f>
        <v>5024.1507546134781</v>
      </c>
      <c r="I86" s="758"/>
      <c r="J86" s="759"/>
    </row>
    <row r="87" spans="1:12" ht="15.75" thickBot="1" x14ac:dyDescent="0.3">
      <c r="H87" s="126">
        <v>3306.12</v>
      </c>
      <c r="I87" s="126"/>
      <c r="J87" s="126"/>
    </row>
  </sheetData>
  <mergeCells count="230">
    <mergeCell ref="A1:J1"/>
    <mergeCell ref="A46:G46"/>
    <mergeCell ref="A74:G74"/>
    <mergeCell ref="A84:G8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59996337778862885"/>
  </sheetPr>
  <dimension ref="A1:L87"/>
  <sheetViews>
    <sheetView view="pageBreakPreview" topLeftCell="A32" zoomScaleNormal="100" zoomScaleSheetLayoutView="100" workbookViewId="0">
      <selection activeCell="R54" sqref="R54"/>
    </sheetView>
  </sheetViews>
  <sheetFormatPr defaultRowHeight="15" x14ac:dyDescent="0.25"/>
  <cols>
    <col min="1" max="1" width="4.7109375" customWidth="1"/>
    <col min="2" max="2" width="2" bestFit="1" customWidth="1"/>
    <col min="3" max="3" width="7.7109375" customWidth="1"/>
    <col min="4" max="4" width="47.7109375" customWidth="1"/>
    <col min="5" max="5" width="3.7109375" customWidth="1"/>
    <col min="6" max="6" width="2.5703125" customWidth="1"/>
    <col min="7" max="7" width="4" customWidth="1"/>
    <col min="8" max="8" width="5.5703125" customWidth="1"/>
    <col min="9" max="9" width="3.28515625" customWidth="1"/>
    <col min="10" max="10" width="3.140625" customWidth="1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23"/>
    </row>
    <row r="2" spans="1:12" ht="20.25" customHeight="1" thickBot="1" x14ac:dyDescent="0.3">
      <c r="A2" s="554" t="s">
        <v>0</v>
      </c>
      <c r="B2" s="555"/>
      <c r="C2" s="556"/>
      <c r="D2" s="737" t="s">
        <v>178</v>
      </c>
      <c r="E2" s="738"/>
      <c r="F2" s="738"/>
      <c r="G2" s="738"/>
      <c r="H2" s="738"/>
      <c r="I2" s="738"/>
      <c r="J2" s="739"/>
      <c r="K2" s="23"/>
    </row>
    <row r="3" spans="1:12" ht="11.25" customHeight="1" thickBot="1" x14ac:dyDescent="0.3">
      <c r="A3" s="267"/>
      <c r="B3" s="232"/>
      <c r="C3" s="232"/>
      <c r="D3" s="232"/>
      <c r="E3" s="232"/>
      <c r="F3" s="232"/>
      <c r="G3" s="232"/>
      <c r="H3" s="232"/>
      <c r="I3" s="232"/>
      <c r="J3" s="265"/>
      <c r="K3" s="23"/>
      <c r="L3" s="23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23"/>
    </row>
    <row r="5" spans="1:12" x14ac:dyDescent="0.25">
      <c r="A5" s="232" t="s">
        <v>31</v>
      </c>
      <c r="B5" s="232"/>
      <c r="C5" s="232"/>
      <c r="D5" s="232"/>
      <c r="E5" s="232"/>
      <c r="F5" s="232"/>
      <c r="G5" s="232"/>
      <c r="H5" s="232"/>
      <c r="I5" s="232"/>
      <c r="J5" s="232"/>
      <c r="K5" s="23"/>
      <c r="L5" s="23"/>
    </row>
    <row r="6" spans="1:12" x14ac:dyDescent="0.25">
      <c r="A6" s="121" t="s">
        <v>2</v>
      </c>
      <c r="B6" s="702" t="s">
        <v>1</v>
      </c>
      <c r="C6" s="703"/>
      <c r="D6" s="704"/>
      <c r="E6" s="788">
        <v>1293.21</v>
      </c>
      <c r="F6" s="788"/>
      <c r="G6" s="788"/>
      <c r="H6" s="788"/>
      <c r="I6" s="788"/>
      <c r="J6" s="788"/>
      <c r="K6" s="23"/>
      <c r="L6" s="23"/>
    </row>
    <row r="7" spans="1:12" x14ac:dyDescent="0.25">
      <c r="A7" s="121" t="s">
        <v>7</v>
      </c>
      <c r="B7" s="702" t="s">
        <v>25</v>
      </c>
      <c r="C7" s="703"/>
      <c r="D7" s="704"/>
      <c r="E7" s="790"/>
      <c r="F7" s="791"/>
      <c r="G7" s="791"/>
      <c r="H7" s="791"/>
      <c r="I7" s="791"/>
      <c r="J7" s="792"/>
      <c r="K7" s="23"/>
      <c r="L7" s="23"/>
    </row>
    <row r="8" spans="1:12" x14ac:dyDescent="0.25">
      <c r="A8" s="121" t="s">
        <v>8</v>
      </c>
      <c r="B8" s="702" t="s">
        <v>26</v>
      </c>
      <c r="C8" s="703"/>
      <c r="D8" s="704"/>
      <c r="E8" s="790"/>
      <c r="F8" s="791"/>
      <c r="G8" s="791"/>
      <c r="H8" s="791"/>
      <c r="I8" s="791"/>
      <c r="J8" s="792"/>
      <c r="K8" s="23"/>
      <c r="L8" s="23"/>
    </row>
    <row r="9" spans="1:12" x14ac:dyDescent="0.25">
      <c r="A9" s="121" t="s">
        <v>9</v>
      </c>
      <c r="B9" s="702" t="s">
        <v>27</v>
      </c>
      <c r="C9" s="703"/>
      <c r="D9" s="704"/>
      <c r="E9" s="790"/>
      <c r="F9" s="791"/>
      <c r="G9" s="791"/>
      <c r="H9" s="791"/>
      <c r="I9" s="791"/>
      <c r="J9" s="792"/>
      <c r="K9" s="23"/>
      <c r="L9" s="23"/>
    </row>
    <row r="10" spans="1:12" x14ac:dyDescent="0.25">
      <c r="A10" s="121" t="s">
        <v>10</v>
      </c>
      <c r="B10" s="702" t="s">
        <v>28</v>
      </c>
      <c r="C10" s="703"/>
      <c r="D10" s="704"/>
      <c r="E10" s="788"/>
      <c r="F10" s="788"/>
      <c r="G10" s="788"/>
      <c r="H10" s="788"/>
      <c r="I10" s="788"/>
      <c r="J10" s="788"/>
      <c r="K10" s="23"/>
      <c r="L10" s="23"/>
    </row>
    <row r="11" spans="1:12" ht="15.75" thickBot="1" x14ac:dyDescent="0.3">
      <c r="A11" s="125" t="s">
        <v>11</v>
      </c>
      <c r="B11" s="709" t="s">
        <v>161</v>
      </c>
      <c r="C11" s="710"/>
      <c r="D11" s="711"/>
      <c r="E11" s="789"/>
      <c r="F11" s="789"/>
      <c r="G11" s="789"/>
      <c r="H11" s="789"/>
      <c r="I11" s="789"/>
      <c r="J11" s="789"/>
      <c r="K11" s="23"/>
      <c r="L11" s="23"/>
    </row>
    <row r="12" spans="1:12" ht="15.75" thickBot="1" x14ac:dyDescent="0.3">
      <c r="A12" s="645" t="s">
        <v>330</v>
      </c>
      <c r="B12" s="646"/>
      <c r="C12" s="646"/>
      <c r="D12" s="647"/>
      <c r="E12" s="641">
        <f>SUM(E6:J11)</f>
        <v>1293.21</v>
      </c>
      <c r="F12" s="642"/>
      <c r="G12" s="642"/>
      <c r="H12" s="642"/>
      <c r="I12" s="642"/>
      <c r="J12" s="643"/>
      <c r="K12" s="23"/>
      <c r="L12" s="23"/>
    </row>
    <row r="13" spans="1:12" ht="30" customHeight="1" x14ac:dyDescent="0.25">
      <c r="A13" s="827" t="s">
        <v>29</v>
      </c>
      <c r="B13" s="828"/>
      <c r="C13" s="828"/>
      <c r="D13" s="828"/>
      <c r="E13" s="829">
        <f>E12*E30</f>
        <v>475.9012800000001</v>
      </c>
      <c r="F13" s="829"/>
      <c r="G13" s="829"/>
      <c r="H13" s="829"/>
      <c r="I13" s="829"/>
      <c r="J13" s="829"/>
      <c r="K13" s="23"/>
      <c r="L13" s="23"/>
    </row>
    <row r="14" spans="1:12" s="34" customFormat="1" ht="10.5" customHeight="1" thickBot="1" x14ac:dyDescent="0.3">
      <c r="A14" s="830"/>
      <c r="B14" s="830"/>
      <c r="C14" s="830"/>
      <c r="D14" s="830"/>
      <c r="E14" s="830"/>
      <c r="F14" s="830"/>
      <c r="G14" s="830"/>
      <c r="H14" s="830"/>
      <c r="I14" s="830"/>
      <c r="J14" s="830"/>
      <c r="K14" s="23"/>
      <c r="L14" s="23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23"/>
    </row>
    <row r="16" spans="1:12" ht="30" customHeight="1" thickBot="1" x14ac:dyDescent="0.3">
      <c r="A16" s="507" t="s">
        <v>361</v>
      </c>
      <c r="B16" s="508"/>
      <c r="C16" s="508"/>
      <c r="D16" s="508"/>
      <c r="E16" s="508"/>
      <c r="F16" s="508"/>
      <c r="G16" s="508"/>
      <c r="H16" s="508"/>
      <c r="I16" s="508"/>
      <c r="J16" s="509"/>
      <c r="K16" s="23"/>
    </row>
    <row r="17" spans="1:12" x14ac:dyDescent="0.25">
      <c r="A17" s="121" t="s">
        <v>2</v>
      </c>
      <c r="B17" s="265" t="s">
        <v>34</v>
      </c>
      <c r="C17" s="266"/>
      <c r="D17" s="267"/>
      <c r="E17" s="278">
        <v>8.3299999999999999E-2</v>
      </c>
      <c r="F17" s="279"/>
      <c r="G17" s="280"/>
      <c r="H17" s="271">
        <f>E17*E12</f>
        <v>107.72439300000001</v>
      </c>
      <c r="I17" s="271"/>
      <c r="J17" s="271"/>
      <c r="K17" s="23"/>
      <c r="L17" s="23"/>
    </row>
    <row r="18" spans="1:12" x14ac:dyDescent="0.25">
      <c r="A18" s="121" t="s">
        <v>7</v>
      </c>
      <c r="B18" s="265" t="s">
        <v>35</v>
      </c>
      <c r="C18" s="266"/>
      <c r="D18" s="267"/>
      <c r="E18" s="268">
        <v>0.121</v>
      </c>
      <c r="F18" s="269"/>
      <c r="G18" s="270"/>
      <c r="H18" s="271">
        <f>E18*E12</f>
        <v>156.47841</v>
      </c>
      <c r="I18" s="271"/>
      <c r="J18" s="271"/>
      <c r="K18" s="23"/>
      <c r="L18" s="23"/>
    </row>
    <row r="19" spans="1:12" x14ac:dyDescent="0.25">
      <c r="A19" s="687" t="s">
        <v>36</v>
      </c>
      <c r="B19" s="688"/>
      <c r="C19" s="688"/>
      <c r="D19" s="688"/>
      <c r="E19" s="688"/>
      <c r="F19" s="688"/>
      <c r="G19" s="689"/>
      <c r="H19" s="690">
        <f>SUM(H17:J18)</f>
        <v>264.20280300000002</v>
      </c>
      <c r="I19" s="690"/>
      <c r="J19" s="690"/>
      <c r="K19" s="23"/>
      <c r="L19" s="23"/>
    </row>
    <row r="20" spans="1:12" ht="31.5" customHeight="1" thickBot="1" x14ac:dyDescent="0.3">
      <c r="A20" s="123" t="s">
        <v>8</v>
      </c>
      <c r="B20" s="284" t="s">
        <v>37</v>
      </c>
      <c r="C20" s="285"/>
      <c r="D20" s="286"/>
      <c r="E20" s="287">
        <v>7.8200000000000006E-2</v>
      </c>
      <c r="F20" s="288"/>
      <c r="G20" s="289"/>
      <c r="H20" s="290">
        <f>E12*E20</f>
        <v>101.12902200000001</v>
      </c>
      <c r="I20" s="291"/>
      <c r="J20" s="292"/>
      <c r="K20" s="23"/>
      <c r="L20" s="23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23"/>
    </row>
    <row r="22" spans="1:12" x14ac:dyDescent="0.25">
      <c r="A22" s="265" t="s">
        <v>2</v>
      </c>
      <c r="B22" s="267"/>
      <c r="C22" s="676" t="s">
        <v>3</v>
      </c>
      <c r="D22" s="677"/>
      <c r="E22" s="678">
        <v>0.2</v>
      </c>
      <c r="F22" s="678"/>
      <c r="G22" s="678"/>
      <c r="H22" s="271">
        <f>E22*(E12+H19)</f>
        <v>311.48256060000006</v>
      </c>
      <c r="I22" s="271"/>
      <c r="J22" s="271"/>
      <c r="K22" s="23"/>
      <c r="L22" s="23"/>
    </row>
    <row r="23" spans="1:12" x14ac:dyDescent="0.25">
      <c r="A23" s="265" t="s">
        <v>7</v>
      </c>
      <c r="B23" s="267"/>
      <c r="C23" s="265" t="s">
        <v>41</v>
      </c>
      <c r="D23" s="267"/>
      <c r="E23" s="672">
        <v>2.5000000000000001E-2</v>
      </c>
      <c r="F23" s="672"/>
      <c r="G23" s="672"/>
      <c r="H23" s="271">
        <f>E23*(E12+H19)</f>
        <v>38.935320075000007</v>
      </c>
      <c r="I23" s="271"/>
      <c r="J23" s="271"/>
      <c r="K23" s="23"/>
      <c r="L23" s="23"/>
    </row>
    <row r="24" spans="1:12" x14ac:dyDescent="0.25">
      <c r="A24" s="265" t="s">
        <v>8</v>
      </c>
      <c r="B24" s="267"/>
      <c r="C24" s="684" t="s">
        <v>42</v>
      </c>
      <c r="D24" s="685"/>
      <c r="E24" s="686">
        <v>0.03</v>
      </c>
      <c r="F24" s="686"/>
      <c r="G24" s="686"/>
      <c r="H24" s="271">
        <f>E24*(E12+H19)</f>
        <v>46.722384090000006</v>
      </c>
      <c r="I24" s="271"/>
      <c r="J24" s="271"/>
      <c r="K24" s="23"/>
      <c r="L24" s="23"/>
    </row>
    <row r="25" spans="1:12" x14ac:dyDescent="0.25">
      <c r="A25" s="265" t="s">
        <v>9</v>
      </c>
      <c r="B25" s="267"/>
      <c r="C25" s="265" t="s">
        <v>43</v>
      </c>
      <c r="D25" s="267"/>
      <c r="E25" s="672">
        <v>1.4999999999999999E-2</v>
      </c>
      <c r="F25" s="672"/>
      <c r="G25" s="672"/>
      <c r="H25" s="271">
        <f>E25*(E12+H19)</f>
        <v>23.361192045000003</v>
      </c>
      <c r="I25" s="271"/>
      <c r="J25" s="271"/>
      <c r="K25" s="23"/>
      <c r="L25" s="23"/>
    </row>
    <row r="26" spans="1:12" x14ac:dyDescent="0.25">
      <c r="A26" s="265" t="s">
        <v>10</v>
      </c>
      <c r="B26" s="267"/>
      <c r="C26" s="265" t="s">
        <v>44</v>
      </c>
      <c r="D26" s="267"/>
      <c r="E26" s="672">
        <v>0.01</v>
      </c>
      <c r="F26" s="672"/>
      <c r="G26" s="672"/>
      <c r="H26" s="271">
        <f>E26*(E12+H19)</f>
        <v>15.574128030000002</v>
      </c>
      <c r="I26" s="271"/>
      <c r="J26" s="271"/>
      <c r="K26" s="23"/>
      <c r="L26" s="23"/>
    </row>
    <row r="27" spans="1:12" x14ac:dyDescent="0.25">
      <c r="A27" s="265" t="s">
        <v>11</v>
      </c>
      <c r="B27" s="267"/>
      <c r="C27" s="265" t="s">
        <v>6</v>
      </c>
      <c r="D27" s="267"/>
      <c r="E27" s="672">
        <v>6.0000000000000001E-3</v>
      </c>
      <c r="F27" s="672"/>
      <c r="G27" s="672"/>
      <c r="H27" s="271">
        <f>E27*(E12+H19)</f>
        <v>9.3444768180000004</v>
      </c>
      <c r="I27" s="271"/>
      <c r="J27" s="271"/>
      <c r="K27" s="23"/>
      <c r="L27" s="23"/>
    </row>
    <row r="28" spans="1:12" x14ac:dyDescent="0.25">
      <c r="A28" s="265" t="s">
        <v>39</v>
      </c>
      <c r="B28" s="267"/>
      <c r="C28" s="265" t="s">
        <v>5</v>
      </c>
      <c r="D28" s="267"/>
      <c r="E28" s="672">
        <v>2E-3</v>
      </c>
      <c r="F28" s="672"/>
      <c r="G28" s="672"/>
      <c r="H28" s="271">
        <f>E28*(E12+H19)</f>
        <v>3.1148256060000006</v>
      </c>
      <c r="I28" s="271"/>
      <c r="J28" s="271"/>
      <c r="K28" s="23"/>
      <c r="L28" s="23"/>
    </row>
    <row r="29" spans="1:12" x14ac:dyDescent="0.25">
      <c r="A29" s="679" t="s">
        <v>40</v>
      </c>
      <c r="B29" s="680"/>
      <c r="C29" s="265" t="s">
        <v>4</v>
      </c>
      <c r="D29" s="266"/>
      <c r="E29" s="681">
        <v>0.08</v>
      </c>
      <c r="F29" s="682"/>
      <c r="G29" s="683"/>
      <c r="H29" s="271">
        <f>E29*(E12+H19)</f>
        <v>124.59302424000002</v>
      </c>
      <c r="I29" s="271"/>
      <c r="J29" s="271"/>
      <c r="K29" s="23"/>
      <c r="L29" s="23"/>
    </row>
    <row r="30" spans="1:12" ht="15.75" thickBot="1" x14ac:dyDescent="0.3">
      <c r="A30" s="656" t="s">
        <v>36</v>
      </c>
      <c r="B30" s="656"/>
      <c r="C30" s="656"/>
      <c r="D30" s="656"/>
      <c r="E30" s="657">
        <f>SUM(E22:G29)</f>
        <v>0.36800000000000005</v>
      </c>
      <c r="F30" s="658"/>
      <c r="G30" s="659"/>
      <c r="H30" s="660">
        <f>SUM(H22:J29)</f>
        <v>573.12791150400005</v>
      </c>
      <c r="I30" s="660"/>
      <c r="J30" s="660"/>
      <c r="K30" s="23"/>
      <c r="L30" s="23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23"/>
    </row>
    <row r="32" spans="1:12" x14ac:dyDescent="0.25">
      <c r="A32" s="265" t="s">
        <v>2</v>
      </c>
      <c r="B32" s="267"/>
      <c r="C32" s="676" t="s">
        <v>46</v>
      </c>
      <c r="D32" s="677"/>
      <c r="E32" s="678"/>
      <c r="F32" s="678"/>
      <c r="G32" s="678"/>
      <c r="H32" s="271">
        <f>(3.9*2*25.5)-6%*E6</f>
        <v>121.3074</v>
      </c>
      <c r="I32" s="271"/>
      <c r="J32" s="271"/>
      <c r="K32" s="23"/>
      <c r="L32" s="23"/>
    </row>
    <row r="33" spans="1:12" x14ac:dyDescent="0.25">
      <c r="A33" s="265" t="s">
        <v>7</v>
      </c>
      <c r="B33" s="267"/>
      <c r="C33" s="265" t="s">
        <v>47</v>
      </c>
      <c r="D33" s="267"/>
      <c r="E33" s="672"/>
      <c r="F33" s="672"/>
      <c r="G33" s="672"/>
      <c r="H33" s="271">
        <f>(13.13*25.5)</f>
        <v>334.815</v>
      </c>
      <c r="I33" s="271"/>
      <c r="J33" s="271"/>
      <c r="K33" s="23"/>
      <c r="L33" s="23"/>
    </row>
    <row r="34" spans="1:12" x14ac:dyDescent="0.25">
      <c r="A34" s="265" t="s">
        <v>8</v>
      </c>
      <c r="B34" s="267"/>
      <c r="C34" s="284" t="s">
        <v>176</v>
      </c>
      <c r="D34" s="286"/>
      <c r="E34" s="672"/>
      <c r="F34" s="672"/>
      <c r="G34" s="672"/>
      <c r="H34" s="271">
        <v>204.21</v>
      </c>
      <c r="I34" s="271"/>
      <c r="J34" s="271"/>
      <c r="K34" s="23"/>
      <c r="L34" s="23"/>
    </row>
    <row r="35" spans="1:12" x14ac:dyDescent="0.25">
      <c r="A35" s="265" t="s">
        <v>9</v>
      </c>
      <c r="B35" s="267"/>
      <c r="C35" s="342" t="s">
        <v>28</v>
      </c>
      <c r="D35" s="343"/>
      <c r="E35" s="672"/>
      <c r="F35" s="672"/>
      <c r="G35" s="672"/>
      <c r="H35" s="271">
        <v>25.95</v>
      </c>
      <c r="I35" s="271"/>
      <c r="J35" s="271"/>
      <c r="K35" s="23"/>
      <c r="L35" s="23"/>
    </row>
    <row r="36" spans="1:12" ht="15.75" thickBot="1" x14ac:dyDescent="0.3">
      <c r="A36" s="673" t="s">
        <v>38</v>
      </c>
      <c r="B36" s="674"/>
      <c r="C36" s="674"/>
      <c r="D36" s="674"/>
      <c r="E36" s="674"/>
      <c r="F36" s="674"/>
      <c r="G36" s="675"/>
      <c r="H36" s="655">
        <f>SUM(H32:J35)</f>
        <v>686.28240000000005</v>
      </c>
      <c r="I36" s="655"/>
      <c r="J36" s="655"/>
      <c r="K36" s="23"/>
      <c r="L36" s="23"/>
    </row>
    <row r="37" spans="1:12" ht="15.75" thickBot="1" x14ac:dyDescent="0.3">
      <c r="A37" s="645" t="s">
        <v>72</v>
      </c>
      <c r="B37" s="646"/>
      <c r="C37" s="646"/>
      <c r="D37" s="745"/>
      <c r="E37" s="648">
        <f>H19+H30+H36</f>
        <v>1523.6131145040001</v>
      </c>
      <c r="F37" s="649"/>
      <c r="G37" s="649"/>
      <c r="H37" s="649"/>
      <c r="I37" s="649"/>
      <c r="J37" s="650"/>
      <c r="K37" s="23"/>
      <c r="L37" s="23"/>
    </row>
    <row r="38" spans="1:12" ht="10.5" customHeight="1" thickBot="1" x14ac:dyDescent="0.3">
      <c r="A38" s="670"/>
      <c r="B38" s="670"/>
      <c r="C38" s="670"/>
      <c r="D38" s="670"/>
      <c r="E38" s="670"/>
      <c r="F38" s="670"/>
      <c r="G38" s="670"/>
      <c r="H38" s="670"/>
      <c r="I38" s="670"/>
      <c r="J38" s="670"/>
      <c r="K38" s="23"/>
      <c r="L38" s="23"/>
    </row>
    <row r="39" spans="1:12" ht="26.25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23"/>
    </row>
    <row r="40" spans="1:12" x14ac:dyDescent="0.25">
      <c r="A40" s="314" t="s">
        <v>2</v>
      </c>
      <c r="B40" s="315"/>
      <c r="C40" s="314" t="s">
        <v>51</v>
      </c>
      <c r="D40" s="315"/>
      <c r="E40" s="49"/>
      <c r="F40" s="51"/>
      <c r="G40" s="50"/>
      <c r="H40" s="316">
        <f>E12/12*5%</f>
        <v>5.3883749999999999</v>
      </c>
      <c r="I40" s="317"/>
      <c r="J40" s="315"/>
      <c r="K40" s="23"/>
      <c r="L40" s="23"/>
    </row>
    <row r="41" spans="1:12" x14ac:dyDescent="0.25">
      <c r="A41" s="314" t="s">
        <v>7</v>
      </c>
      <c r="B41" s="315"/>
      <c r="C41" s="314" t="s">
        <v>52</v>
      </c>
      <c r="D41" s="315"/>
      <c r="E41" s="49"/>
      <c r="F41" s="51"/>
      <c r="G41" s="50"/>
      <c r="H41" s="316">
        <f>H40*8%</f>
        <v>0.43107000000000001</v>
      </c>
      <c r="I41" s="317"/>
      <c r="J41" s="315"/>
      <c r="K41" s="23"/>
      <c r="L41" s="23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271">
        <f>E42*E12</f>
        <v>0</v>
      </c>
      <c r="I42" s="271"/>
      <c r="J42" s="271"/>
      <c r="K42" s="23"/>
      <c r="L42" s="23"/>
    </row>
    <row r="43" spans="1:12" x14ac:dyDescent="0.25">
      <c r="A43" s="232" t="s">
        <v>9</v>
      </c>
      <c r="B43" s="232"/>
      <c r="C43" s="265" t="s">
        <v>54</v>
      </c>
      <c r="D43" s="267"/>
      <c r="E43" s="341"/>
      <c r="F43" s="341"/>
      <c r="G43" s="341"/>
      <c r="H43" s="271">
        <f>E12/30/12*7*100%</f>
        <v>25.14575</v>
      </c>
      <c r="I43" s="271"/>
      <c r="J43" s="271"/>
      <c r="K43" s="23"/>
      <c r="L43" s="23"/>
    </row>
    <row r="44" spans="1:12" ht="30.75" customHeight="1" x14ac:dyDescent="0.25">
      <c r="A44" s="232" t="s">
        <v>10</v>
      </c>
      <c r="B44" s="232"/>
      <c r="C44" s="342" t="s">
        <v>83</v>
      </c>
      <c r="D44" s="343"/>
      <c r="E44" s="341"/>
      <c r="F44" s="341"/>
      <c r="G44" s="341"/>
      <c r="H44" s="271">
        <f>H43*39.8%</f>
        <v>10.008008499999999</v>
      </c>
      <c r="I44" s="271"/>
      <c r="J44" s="271"/>
      <c r="K44" s="23"/>
      <c r="L44" s="23"/>
    </row>
    <row r="45" spans="1:12" ht="30.75" customHeight="1" thickBot="1" x14ac:dyDescent="0.3">
      <c r="A45" s="634" t="s">
        <v>11</v>
      </c>
      <c r="B45" s="635"/>
      <c r="C45" s="755" t="s">
        <v>53</v>
      </c>
      <c r="D45" s="756"/>
      <c r="E45" s="663"/>
      <c r="F45" s="664"/>
      <c r="G45" s="665"/>
      <c r="H45" s="666">
        <f>E12*5%</f>
        <v>64.660499999999999</v>
      </c>
      <c r="I45" s="667"/>
      <c r="J45" s="668"/>
      <c r="K45" s="23"/>
      <c r="L45" s="23"/>
    </row>
    <row r="46" spans="1:12" ht="15.75" thickBot="1" x14ac:dyDescent="0.3">
      <c r="A46" s="638" t="s">
        <v>333</v>
      </c>
      <c r="B46" s="639"/>
      <c r="C46" s="639"/>
      <c r="D46" s="639"/>
      <c r="E46" s="639"/>
      <c r="F46" s="639"/>
      <c r="G46" s="639"/>
      <c r="H46" s="641">
        <f>SUM(H40:J45)</f>
        <v>105.6337035</v>
      </c>
      <c r="I46" s="642"/>
      <c r="J46" s="643"/>
      <c r="K46" s="23"/>
      <c r="L46" s="23"/>
    </row>
    <row r="47" spans="1:12" ht="9.75" customHeight="1" thickBot="1" x14ac:dyDescent="0.3">
      <c r="E47" s="17"/>
      <c r="F47" s="17"/>
      <c r="G47" s="17"/>
      <c r="H47" s="18"/>
      <c r="I47" s="18"/>
      <c r="J47" s="18"/>
      <c r="K47" s="23"/>
      <c r="L47" s="23"/>
    </row>
    <row r="48" spans="1:12" ht="33" customHeight="1" thickBot="1" x14ac:dyDescent="0.3">
      <c r="A48" s="494" t="s">
        <v>317</v>
      </c>
      <c r="B48" s="495"/>
      <c r="C48" s="495"/>
      <c r="D48" s="495"/>
      <c r="E48" s="495"/>
      <c r="F48" s="495"/>
      <c r="G48" s="495"/>
      <c r="H48" s="495"/>
      <c r="I48" s="495"/>
      <c r="J48" s="496"/>
      <c r="K48" s="23"/>
    </row>
    <row r="49" spans="1:12" x14ac:dyDescent="0.25">
      <c r="A49" s="314" t="s">
        <v>2</v>
      </c>
      <c r="B49" s="315"/>
      <c r="C49" s="314" t="s">
        <v>56</v>
      </c>
      <c r="D49" s="315"/>
      <c r="E49" s="49"/>
      <c r="F49" s="51"/>
      <c r="G49" s="50"/>
      <c r="H49" s="316">
        <f>E20/12*5%</f>
        <v>3.2583333333333336E-4</v>
      </c>
      <c r="I49" s="317"/>
      <c r="J49" s="315"/>
      <c r="K49" s="23"/>
      <c r="L49" s="23"/>
    </row>
    <row r="50" spans="1:12" x14ac:dyDescent="0.25">
      <c r="A50" s="314" t="s">
        <v>7</v>
      </c>
      <c r="B50" s="315"/>
      <c r="C50" s="314" t="s">
        <v>57</v>
      </c>
      <c r="D50" s="315"/>
      <c r="E50" s="49"/>
      <c r="F50" s="51"/>
      <c r="G50" s="50"/>
      <c r="H50" s="316">
        <f>E12/30/12</f>
        <v>3.5922499999999999</v>
      </c>
      <c r="I50" s="317"/>
      <c r="J50" s="315"/>
      <c r="K50" s="23"/>
      <c r="L50" s="23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271">
        <f>E12/30/12*5*1.5%</f>
        <v>0.26941874999999998</v>
      </c>
      <c r="I51" s="271"/>
      <c r="J51" s="271"/>
      <c r="K51" s="23"/>
      <c r="L51" s="23"/>
    </row>
    <row r="52" spans="1:12" x14ac:dyDescent="0.25">
      <c r="A52" s="232" t="s">
        <v>9</v>
      </c>
      <c r="B52" s="232"/>
      <c r="C52" s="284" t="s">
        <v>59</v>
      </c>
      <c r="D52" s="286"/>
      <c r="E52" s="341"/>
      <c r="F52" s="341"/>
      <c r="G52" s="341"/>
      <c r="H52" s="271">
        <f>E12/30/12*15*8%</f>
        <v>4.3106999999999998</v>
      </c>
      <c r="I52" s="271"/>
      <c r="J52" s="271"/>
      <c r="K52" s="23"/>
      <c r="L52" s="23"/>
    </row>
    <row r="53" spans="1:12" x14ac:dyDescent="0.25">
      <c r="A53" s="232" t="s">
        <v>10</v>
      </c>
      <c r="B53" s="232"/>
      <c r="C53" s="342" t="s">
        <v>60</v>
      </c>
      <c r="D53" s="343"/>
      <c r="E53" s="341"/>
      <c r="F53" s="341"/>
      <c r="G53" s="341"/>
      <c r="H53" s="271">
        <f>E20*5%</f>
        <v>3.9100000000000003E-3</v>
      </c>
      <c r="I53" s="271"/>
      <c r="J53" s="271"/>
      <c r="K53" s="23"/>
      <c r="L53" s="23"/>
    </row>
    <row r="54" spans="1:12" x14ac:dyDescent="0.25">
      <c r="A54" s="232" t="s">
        <v>11</v>
      </c>
      <c r="B54" s="232"/>
      <c r="C54" s="342" t="s">
        <v>61</v>
      </c>
      <c r="D54" s="343"/>
      <c r="E54" s="341"/>
      <c r="F54" s="341"/>
      <c r="G54" s="341"/>
      <c r="H54" s="271">
        <f>E12/30/12*5*40%</f>
        <v>7.1844999999999999</v>
      </c>
      <c r="I54" s="271"/>
      <c r="J54" s="271"/>
      <c r="K54" s="23"/>
      <c r="L54" s="23"/>
    </row>
    <row r="55" spans="1:12" ht="30" customHeight="1" x14ac:dyDescent="0.25">
      <c r="A55" s="232" t="s">
        <v>39</v>
      </c>
      <c r="B55" s="232"/>
      <c r="C55" s="342" t="s">
        <v>62</v>
      </c>
      <c r="D55" s="343"/>
      <c r="E55" s="341"/>
      <c r="F55" s="341"/>
      <c r="G55" s="341"/>
      <c r="H55" s="271">
        <f>SUM(H49:J54)*39.8%</f>
        <v>6.1137196241666656</v>
      </c>
      <c r="I55" s="271"/>
      <c r="J55" s="271"/>
      <c r="K55" s="23"/>
      <c r="L55" s="23"/>
    </row>
    <row r="56" spans="1:12" ht="15.75" thickBot="1" x14ac:dyDescent="0.3">
      <c r="A56" s="656" t="s">
        <v>36</v>
      </c>
      <c r="B56" s="656"/>
      <c r="C56" s="656"/>
      <c r="D56" s="656"/>
      <c r="E56" s="657"/>
      <c r="F56" s="658"/>
      <c r="G56" s="659"/>
      <c r="H56" s="660">
        <f>SUM(H49:J55)</f>
        <v>21.474824207499996</v>
      </c>
      <c r="I56" s="660"/>
      <c r="J56" s="660"/>
      <c r="K56" s="23"/>
      <c r="L56" s="23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23"/>
    </row>
    <row r="58" spans="1:12" ht="32.25" customHeight="1" x14ac:dyDescent="0.25">
      <c r="A58" s="314" t="s">
        <v>2</v>
      </c>
      <c r="B58" s="315"/>
      <c r="C58" s="344" t="s">
        <v>64</v>
      </c>
      <c r="D58" s="345"/>
      <c r="E58" s="49"/>
      <c r="F58" s="51"/>
      <c r="G58" s="50"/>
      <c r="H58" s="316">
        <f>((((E12+(E12/3))*0.3333)/12)*2%)</f>
        <v>0.95783753999999988</v>
      </c>
      <c r="I58" s="317"/>
      <c r="J58" s="315"/>
      <c r="K58" s="23"/>
      <c r="L58" s="23"/>
    </row>
    <row r="59" spans="1:12" ht="31.5" customHeight="1" x14ac:dyDescent="0.25">
      <c r="A59" s="314" t="s">
        <v>7</v>
      </c>
      <c r="B59" s="315"/>
      <c r="C59" s="454" t="s">
        <v>65</v>
      </c>
      <c r="D59" s="455"/>
      <c r="E59" s="49"/>
      <c r="F59" s="51"/>
      <c r="G59" s="50"/>
      <c r="H59" s="316">
        <f>H58*39.8%</f>
        <v>0.38121934091999993</v>
      </c>
      <c r="I59" s="317"/>
      <c r="J59" s="315"/>
      <c r="K59" s="23"/>
      <c r="L59" s="23"/>
    </row>
    <row r="60" spans="1:12" ht="45" customHeight="1" x14ac:dyDescent="0.25">
      <c r="A60" s="318" t="s">
        <v>8</v>
      </c>
      <c r="B60" s="319"/>
      <c r="C60" s="344" t="s">
        <v>66</v>
      </c>
      <c r="D60" s="345"/>
      <c r="E60" s="322"/>
      <c r="F60" s="323"/>
      <c r="G60" s="324"/>
      <c r="H60" s="271">
        <f>(((E12+H17)*0.333)*2%)*39.8%</f>
        <v>3.7134287768372394</v>
      </c>
      <c r="I60" s="271"/>
      <c r="J60" s="271"/>
      <c r="K60" s="23"/>
      <c r="L60" s="23"/>
    </row>
    <row r="61" spans="1:12" x14ac:dyDescent="0.25">
      <c r="A61" s="232" t="s">
        <v>9</v>
      </c>
      <c r="B61" s="232"/>
      <c r="C61" s="265" t="s">
        <v>67</v>
      </c>
      <c r="D61" s="267"/>
      <c r="E61" s="341"/>
      <c r="F61" s="341"/>
      <c r="G61" s="341"/>
      <c r="H61" s="271"/>
      <c r="I61" s="271"/>
      <c r="J61" s="271"/>
      <c r="K61" s="23"/>
      <c r="L61" s="23"/>
    </row>
    <row r="62" spans="1:12" ht="15.75" thickBot="1" x14ac:dyDescent="0.3">
      <c r="A62" s="656" t="s">
        <v>36</v>
      </c>
      <c r="B62" s="656"/>
      <c r="C62" s="656"/>
      <c r="D62" s="656"/>
      <c r="E62" s="657"/>
      <c r="F62" s="658"/>
      <c r="G62" s="659"/>
      <c r="H62" s="660">
        <f>SUM(H58:J61)</f>
        <v>5.0524856577572397</v>
      </c>
      <c r="I62" s="660"/>
      <c r="J62" s="660"/>
      <c r="K62" s="23"/>
      <c r="L62" s="23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23"/>
    </row>
    <row r="64" spans="1:12" ht="33" customHeight="1" x14ac:dyDescent="0.25">
      <c r="A64" s="314" t="s">
        <v>2</v>
      </c>
      <c r="B64" s="315"/>
      <c r="C64" s="344" t="s">
        <v>69</v>
      </c>
      <c r="D64" s="345"/>
      <c r="E64" s="49"/>
      <c r="F64" s="51"/>
      <c r="G64" s="50"/>
      <c r="H64" s="316">
        <f>((((E18+(E18/3))*0.3333)/12)*2%)</f>
        <v>8.9620666666666654E-5</v>
      </c>
      <c r="I64" s="317"/>
      <c r="J64" s="315"/>
      <c r="K64" s="23"/>
      <c r="L64" s="23"/>
    </row>
    <row r="65" spans="1:12" ht="29.25" customHeight="1" x14ac:dyDescent="0.25">
      <c r="A65" s="314" t="s">
        <v>7</v>
      </c>
      <c r="B65" s="315"/>
      <c r="C65" s="344" t="s">
        <v>70</v>
      </c>
      <c r="D65" s="345"/>
      <c r="E65" s="49"/>
      <c r="F65" s="51"/>
      <c r="G65" s="50"/>
      <c r="H65" s="316">
        <f>H64*39.8%</f>
        <v>3.5669025333333325E-5</v>
      </c>
      <c r="I65" s="317"/>
      <c r="J65" s="315"/>
      <c r="K65" s="23"/>
      <c r="L65" s="23"/>
    </row>
    <row r="66" spans="1:12" ht="15.75" thickBot="1" x14ac:dyDescent="0.3">
      <c r="A66" s="651" t="s">
        <v>36</v>
      </c>
      <c r="B66" s="651"/>
      <c r="C66" s="651"/>
      <c r="D66" s="651"/>
      <c r="E66" s="652"/>
      <c r="F66" s="653"/>
      <c r="G66" s="654"/>
      <c r="H66" s="655">
        <f>SUM(H64:J65)</f>
        <v>1.2528969199999997E-4</v>
      </c>
      <c r="I66" s="655"/>
      <c r="J66" s="655"/>
      <c r="K66" s="23"/>
      <c r="L66" s="23"/>
    </row>
    <row r="67" spans="1:12" ht="15.75" thickBot="1" x14ac:dyDescent="0.3">
      <c r="A67" s="645" t="s">
        <v>71</v>
      </c>
      <c r="B67" s="646"/>
      <c r="C67" s="646"/>
      <c r="D67" s="745"/>
      <c r="E67" s="648">
        <f>H66+H62+H56</f>
        <v>26.527435154949234</v>
      </c>
      <c r="F67" s="649"/>
      <c r="G67" s="649"/>
      <c r="H67" s="649"/>
      <c r="I67" s="649"/>
      <c r="J67" s="650"/>
      <c r="K67" s="23"/>
      <c r="L67" s="23"/>
    </row>
    <row r="68" spans="1:12" ht="10.5" customHeight="1" thickBo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  <c r="L68" s="23"/>
    </row>
    <row r="69" spans="1:12" ht="33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23"/>
    </row>
    <row r="70" spans="1:12" x14ac:dyDescent="0.25">
      <c r="A70" s="314" t="s">
        <v>2</v>
      </c>
      <c r="B70" s="315"/>
      <c r="C70" s="314" t="s">
        <v>74</v>
      </c>
      <c r="D70" s="315"/>
      <c r="E70" s="314"/>
      <c r="F70" s="317"/>
      <c r="G70" s="315"/>
      <c r="H70" s="316">
        <v>300</v>
      </c>
      <c r="I70" s="317"/>
      <c r="J70" s="315"/>
      <c r="K70" s="23"/>
      <c r="L70" s="23"/>
    </row>
    <row r="71" spans="1:12" x14ac:dyDescent="0.25">
      <c r="A71" s="314" t="s">
        <v>7</v>
      </c>
      <c r="B71" s="315"/>
      <c r="C71" s="314" t="s">
        <v>75</v>
      </c>
      <c r="D71" s="315"/>
      <c r="E71" s="49"/>
      <c r="F71" s="51"/>
      <c r="G71" s="50"/>
      <c r="H71" s="316">
        <v>5</v>
      </c>
      <c r="I71" s="317"/>
      <c r="J71" s="315"/>
      <c r="K71" s="23"/>
      <c r="L71" s="23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271">
        <v>43.5</v>
      </c>
      <c r="I72" s="271"/>
      <c r="J72" s="271"/>
      <c r="K72" s="23"/>
      <c r="L72" s="23"/>
    </row>
    <row r="73" spans="1:12" ht="15.75" thickBot="1" x14ac:dyDescent="0.3">
      <c r="A73" s="633" t="s">
        <v>9</v>
      </c>
      <c r="B73" s="633"/>
      <c r="C73" s="634" t="s">
        <v>28</v>
      </c>
      <c r="D73" s="635"/>
      <c r="E73" s="636"/>
      <c r="F73" s="636"/>
      <c r="G73" s="636"/>
      <c r="H73" s="637">
        <v>25</v>
      </c>
      <c r="I73" s="637"/>
      <c r="J73" s="637"/>
      <c r="K73" s="23"/>
      <c r="L73" s="23"/>
    </row>
    <row r="74" spans="1:12" ht="15.75" thickBot="1" x14ac:dyDescent="0.3">
      <c r="A74" s="638" t="s">
        <v>336</v>
      </c>
      <c r="B74" s="639"/>
      <c r="C74" s="639"/>
      <c r="D74" s="639"/>
      <c r="E74" s="639"/>
      <c r="F74" s="639"/>
      <c r="G74" s="639"/>
      <c r="H74" s="641">
        <f>SUM(H70:J73)</f>
        <v>373.5</v>
      </c>
      <c r="I74" s="642"/>
      <c r="J74" s="643"/>
      <c r="K74" s="23"/>
      <c r="L74" s="23"/>
    </row>
    <row r="75" spans="1:12" ht="10.5" customHeight="1" thickBot="1" x14ac:dyDescent="0.3">
      <c r="E75" s="17"/>
      <c r="F75" s="17"/>
      <c r="G75" s="17"/>
      <c r="H75" s="18"/>
      <c r="I75" s="18"/>
      <c r="J75" s="18"/>
      <c r="K75" s="23"/>
      <c r="L75" s="23"/>
    </row>
    <row r="76" spans="1:12" ht="33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23"/>
    </row>
    <row r="77" spans="1:12" x14ac:dyDescent="0.25">
      <c r="A77" s="314" t="s">
        <v>2</v>
      </c>
      <c r="B77" s="315"/>
      <c r="C77" s="314" t="s">
        <v>77</v>
      </c>
      <c r="D77" s="315"/>
      <c r="E77" s="644">
        <v>7.0000000000000007E-2</v>
      </c>
      <c r="F77" s="317"/>
      <c r="G77" s="315"/>
      <c r="H77" s="316">
        <f>(H74+E67+H46+E37+E12)*E77</f>
        <v>232.57389772112649</v>
      </c>
      <c r="I77" s="317"/>
      <c r="J77" s="315"/>
      <c r="K77" s="23"/>
      <c r="L77" s="23"/>
    </row>
    <row r="78" spans="1:12" x14ac:dyDescent="0.25">
      <c r="A78" s="314" t="s">
        <v>7</v>
      </c>
      <c r="B78" s="315"/>
      <c r="C78" s="314" t="s">
        <v>12</v>
      </c>
      <c r="D78" s="315"/>
      <c r="E78" s="644">
        <v>7.5774185115783349E-2</v>
      </c>
      <c r="F78" s="317"/>
      <c r="G78" s="315"/>
      <c r="H78" s="316">
        <f>E78*(H74+E67+H46+E37+E12)</f>
        <v>251.7585368431414</v>
      </c>
      <c r="I78" s="317"/>
      <c r="J78" s="315"/>
      <c r="K78" s="23"/>
      <c r="L78" s="23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271">
        <f>(H74+E67+H46+E37+E12)/E79</f>
        <v>3874.6172048500866</v>
      </c>
      <c r="I79" s="271"/>
      <c r="J79" s="271"/>
      <c r="K79" s="23"/>
      <c r="L79" s="23"/>
    </row>
    <row r="80" spans="1:12" x14ac:dyDescent="0.25">
      <c r="A80" s="232" t="s">
        <v>9</v>
      </c>
      <c r="B80" s="232"/>
      <c r="C80" s="265" t="s">
        <v>79</v>
      </c>
      <c r="D80" s="267"/>
      <c r="E80" s="341">
        <v>1.6500000000000001E-2</v>
      </c>
      <c r="F80" s="341"/>
      <c r="G80" s="341"/>
      <c r="H80" s="271">
        <f>E80*H87</f>
        <v>54.550980000000003</v>
      </c>
      <c r="I80" s="271"/>
      <c r="J80" s="271"/>
      <c r="K80" s="23"/>
      <c r="L80" s="23"/>
    </row>
    <row r="81" spans="1:12" x14ac:dyDescent="0.25">
      <c r="A81" s="232" t="s">
        <v>9</v>
      </c>
      <c r="B81" s="232"/>
      <c r="C81" s="265" t="s">
        <v>80</v>
      </c>
      <c r="D81" s="267"/>
      <c r="E81" s="341">
        <v>7.5999999999999998E-2</v>
      </c>
      <c r="F81" s="341"/>
      <c r="G81" s="341"/>
      <c r="H81" s="271">
        <f>E81*H87</f>
        <v>251.26512</v>
      </c>
      <c r="I81" s="271"/>
      <c r="J81" s="271"/>
      <c r="K81" s="23"/>
      <c r="L81" s="23"/>
    </row>
    <row r="82" spans="1:12" x14ac:dyDescent="0.25">
      <c r="A82" s="232" t="s">
        <v>10</v>
      </c>
      <c r="B82" s="232"/>
      <c r="C82" s="265" t="s">
        <v>81</v>
      </c>
      <c r="D82" s="267"/>
      <c r="E82" s="341"/>
      <c r="F82" s="341"/>
      <c r="G82" s="341"/>
      <c r="H82" s="271"/>
      <c r="I82" s="271"/>
      <c r="J82" s="271"/>
      <c r="K82" s="23"/>
      <c r="L82" s="23"/>
    </row>
    <row r="83" spans="1:12" ht="15.75" thickBot="1" x14ac:dyDescent="0.3">
      <c r="A83" s="633" t="s">
        <v>11</v>
      </c>
      <c r="B83" s="633"/>
      <c r="C83" s="634" t="s">
        <v>82</v>
      </c>
      <c r="D83" s="635"/>
      <c r="E83" s="636">
        <v>0.05</v>
      </c>
      <c r="F83" s="636"/>
      <c r="G83" s="636"/>
      <c r="H83" s="637">
        <f>E83*H87</f>
        <v>165.30600000000001</v>
      </c>
      <c r="I83" s="637"/>
      <c r="J83" s="637"/>
      <c r="K83" s="23"/>
      <c r="L83" s="23"/>
    </row>
    <row r="84" spans="1:12" ht="15.75" thickBot="1" x14ac:dyDescent="0.3">
      <c r="A84" s="638" t="s">
        <v>340</v>
      </c>
      <c r="B84" s="639"/>
      <c r="C84" s="639"/>
      <c r="D84" s="639"/>
      <c r="E84" s="639"/>
      <c r="F84" s="639"/>
      <c r="G84" s="639"/>
      <c r="H84" s="641">
        <f>H77+H78+H80+H81+H83</f>
        <v>955.45453456426799</v>
      </c>
      <c r="I84" s="642"/>
      <c r="J84" s="643"/>
      <c r="K84" s="23"/>
      <c r="L84" s="23"/>
    </row>
    <row r="85" spans="1:12" ht="10.5" customHeight="1" thickBot="1" x14ac:dyDescent="0.3">
      <c r="E85" s="17"/>
      <c r="F85" s="17"/>
      <c r="G85" s="17"/>
      <c r="H85" s="18"/>
      <c r="I85" s="18"/>
      <c r="J85" s="18"/>
      <c r="K85" s="23"/>
      <c r="L85" s="23"/>
    </row>
    <row r="86" spans="1:12" ht="15.75" thickBot="1" x14ac:dyDescent="0.3">
      <c r="A86" s="627" t="s">
        <v>85</v>
      </c>
      <c r="B86" s="628"/>
      <c r="C86" s="628"/>
      <c r="D86" s="628"/>
      <c r="E86" s="628"/>
      <c r="F86" s="628"/>
      <c r="G86" s="629"/>
      <c r="H86" s="757">
        <f>SUM(H84+H74+E67+H46+E37+E12)</f>
        <v>4277.9387877232175</v>
      </c>
      <c r="I86" s="758"/>
      <c r="J86" s="759"/>
    </row>
    <row r="87" spans="1:12" ht="15.75" thickBot="1" x14ac:dyDescent="0.3">
      <c r="H87" s="126">
        <v>3306.12</v>
      </c>
      <c r="I87" s="126"/>
      <c r="J87" s="126"/>
    </row>
  </sheetData>
  <mergeCells count="230">
    <mergeCell ref="A1:J1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99"/>
  </sheetPr>
  <dimension ref="A1:L87"/>
  <sheetViews>
    <sheetView topLeftCell="A61" workbookViewId="0">
      <selection activeCell="B8" sqref="B8:D8"/>
    </sheetView>
  </sheetViews>
  <sheetFormatPr defaultRowHeight="15" x14ac:dyDescent="0.25"/>
  <cols>
    <col min="1" max="1" width="6.7109375" style="134" customWidth="1"/>
    <col min="2" max="2" width="2" style="134" bestFit="1" customWidth="1"/>
    <col min="3" max="3" width="7.42578125" style="134" customWidth="1"/>
    <col min="4" max="4" width="45.85546875" style="134" customWidth="1"/>
    <col min="5" max="5" width="3.7109375" style="134" customWidth="1"/>
    <col min="6" max="6" width="2.5703125" style="134" customWidth="1"/>
    <col min="7" max="7" width="4" style="134" customWidth="1"/>
    <col min="8" max="8" width="5.5703125" style="134" customWidth="1"/>
    <col min="9" max="9" width="3.28515625" style="134" customWidth="1"/>
    <col min="10" max="10" width="3.14062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362</v>
      </c>
      <c r="E2" s="738"/>
      <c r="F2" s="738"/>
      <c r="G2" s="738"/>
      <c r="H2" s="738"/>
      <c r="I2" s="738"/>
      <c r="J2" s="739"/>
      <c r="K2" s="136"/>
    </row>
    <row r="3" spans="1:12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  <c r="L5" s="136"/>
    </row>
    <row r="6" spans="1:12" x14ac:dyDescent="0.25">
      <c r="A6" s="123" t="s">
        <v>2</v>
      </c>
      <c r="B6" s="606" t="s">
        <v>1</v>
      </c>
      <c r="C6" s="607"/>
      <c r="D6" s="608"/>
      <c r="E6" s="717">
        <v>1504.26</v>
      </c>
      <c r="F6" s="481"/>
      <c r="G6" s="481"/>
      <c r="H6" s="481"/>
      <c r="I6" s="481"/>
      <c r="J6" s="481"/>
      <c r="K6" s="136"/>
      <c r="L6" s="136"/>
    </row>
    <row r="7" spans="1:12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36"/>
      <c r="L7" s="136"/>
    </row>
    <row r="8" spans="1:12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36"/>
      <c r="L8" s="136"/>
    </row>
    <row r="9" spans="1:12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36"/>
      <c r="L9" s="136"/>
    </row>
    <row r="10" spans="1:12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36"/>
      <c r="L10" s="136"/>
    </row>
    <row r="11" spans="1:12" ht="28.5" customHeight="1" thickBot="1" x14ac:dyDescent="0.3">
      <c r="A11" s="125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36"/>
      <c r="L11" s="136"/>
    </row>
    <row r="12" spans="1:12" ht="15.75" thickBot="1" x14ac:dyDescent="0.3">
      <c r="A12" s="458" t="s">
        <v>330</v>
      </c>
      <c r="B12" s="459"/>
      <c r="C12" s="459"/>
      <c r="D12" s="460"/>
      <c r="E12" s="484">
        <f>SUM(E6:J11)</f>
        <v>1504.26</v>
      </c>
      <c r="F12" s="485"/>
      <c r="G12" s="485"/>
      <c r="H12" s="485"/>
      <c r="I12" s="485"/>
      <c r="J12" s="486"/>
      <c r="K12" s="136"/>
      <c r="L12" s="136"/>
    </row>
    <row r="13" spans="1:12" ht="30" customHeight="1" x14ac:dyDescent="0.25">
      <c r="A13" s="551" t="s">
        <v>29</v>
      </c>
      <c r="B13" s="715"/>
      <c r="C13" s="715"/>
      <c r="D13" s="716"/>
      <c r="E13" s="548">
        <f>E12*E30</f>
        <v>553.56768000000011</v>
      </c>
      <c r="F13" s="549"/>
      <c r="G13" s="549"/>
      <c r="H13" s="549"/>
      <c r="I13" s="549"/>
      <c r="J13" s="550"/>
      <c r="K13" s="136"/>
      <c r="L13" s="136"/>
    </row>
    <row r="14" spans="1:12" ht="9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  <c r="L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3" t="s">
        <v>2</v>
      </c>
      <c r="B17" s="482" t="s">
        <v>34</v>
      </c>
      <c r="C17" s="521"/>
      <c r="D17" s="483"/>
      <c r="E17" s="619">
        <v>8.3299999999999999E-2</v>
      </c>
      <c r="F17" s="620"/>
      <c r="G17" s="621"/>
      <c r="H17" s="450">
        <f>E17*E12</f>
        <v>125.304858</v>
      </c>
      <c r="I17" s="450"/>
      <c r="J17" s="450"/>
      <c r="K17" s="136"/>
      <c r="L17" s="136"/>
    </row>
    <row r="18" spans="1:12" x14ac:dyDescent="0.25">
      <c r="A18" s="123" t="s">
        <v>7</v>
      </c>
      <c r="B18" s="482" t="s">
        <v>35</v>
      </c>
      <c r="C18" s="521"/>
      <c r="D18" s="483"/>
      <c r="E18" s="287">
        <v>0.121</v>
      </c>
      <c r="F18" s="288"/>
      <c r="G18" s="289"/>
      <c r="H18" s="450">
        <f>E18*E12</f>
        <v>182.01545999999999</v>
      </c>
      <c r="I18" s="450"/>
      <c r="J18" s="450"/>
      <c r="K18" s="136"/>
      <c r="L18" s="136"/>
    </row>
    <row r="19" spans="1:12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307.32031799999999</v>
      </c>
      <c r="I19" s="525"/>
      <c r="J19" s="525"/>
      <c r="K19" s="136"/>
      <c r="L19" s="136"/>
    </row>
    <row r="20" spans="1:12" ht="29.25" customHeight="1" thickBot="1" x14ac:dyDescent="0.3">
      <c r="A20" s="123" t="s">
        <v>8</v>
      </c>
      <c r="B20" s="284" t="s">
        <v>37</v>
      </c>
      <c r="C20" s="285"/>
      <c r="D20" s="286"/>
      <c r="E20" s="287">
        <v>7.8200000000000006E-2</v>
      </c>
      <c r="F20" s="288"/>
      <c r="G20" s="289"/>
      <c r="H20" s="290">
        <f>E12*E20</f>
        <v>117.633132</v>
      </c>
      <c r="I20" s="291"/>
      <c r="J20" s="292"/>
      <c r="K20" s="136"/>
      <c r="L20" s="136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362.31606360000001</v>
      </c>
      <c r="I22" s="450"/>
      <c r="J22" s="450"/>
      <c r="K22" s="136"/>
      <c r="L22" s="136"/>
    </row>
    <row r="23" spans="1:12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45.289507950000001</v>
      </c>
      <c r="I23" s="450"/>
      <c r="J23" s="450"/>
      <c r="K23" s="136"/>
      <c r="L23" s="136"/>
    </row>
    <row r="24" spans="1:12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54.347409540000001</v>
      </c>
      <c r="I24" s="450"/>
      <c r="J24" s="450"/>
      <c r="K24" s="136"/>
      <c r="L24" s="136"/>
    </row>
    <row r="25" spans="1:12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27.173704770000001</v>
      </c>
      <c r="I25" s="450"/>
      <c r="J25" s="450"/>
      <c r="K25" s="136"/>
      <c r="L25" s="136"/>
    </row>
    <row r="26" spans="1:12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18.11580318</v>
      </c>
      <c r="I26" s="450"/>
      <c r="J26" s="450"/>
      <c r="K26" s="136"/>
      <c r="L26" s="136"/>
    </row>
    <row r="27" spans="1:12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10.869481908000001</v>
      </c>
      <c r="I27" s="450"/>
      <c r="J27" s="450"/>
      <c r="K27" s="136"/>
      <c r="L27" s="136"/>
    </row>
    <row r="28" spans="1:12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3.6231606360000002</v>
      </c>
      <c r="I28" s="450"/>
      <c r="J28" s="450"/>
      <c r="K28" s="136"/>
      <c r="L28" s="136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144.92642544</v>
      </c>
      <c r="I29" s="450"/>
      <c r="J29" s="450"/>
      <c r="K29" s="136"/>
      <c r="L29" s="136"/>
    </row>
    <row r="30" spans="1:12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666.66155702399999</v>
      </c>
      <c r="I30" s="592"/>
      <c r="J30" s="592"/>
      <c r="K30" s="136"/>
      <c r="L30" s="136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(3.9*2*25.5)-6%*E6</f>
        <v>108.6444</v>
      </c>
      <c r="I32" s="450"/>
      <c r="J32" s="450"/>
      <c r="K32" s="136"/>
      <c r="L32" s="136"/>
    </row>
    <row r="33" spans="1:12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(21.63*25.5)-20%</f>
        <v>551.3649999999999</v>
      </c>
      <c r="I33" s="450"/>
      <c r="J33" s="450"/>
      <c r="K33" s="136"/>
      <c r="L33" s="136"/>
    </row>
    <row r="34" spans="1:12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36"/>
      <c r="L34" s="136"/>
    </row>
    <row r="35" spans="1:12" x14ac:dyDescent="0.25">
      <c r="A35" s="482" t="s">
        <v>9</v>
      </c>
      <c r="B35" s="483"/>
      <c r="C35" s="478" t="s">
        <v>28</v>
      </c>
      <c r="D35" s="479"/>
      <c r="E35" s="497"/>
      <c r="F35" s="497"/>
      <c r="G35" s="497"/>
      <c r="H35" s="450">
        <v>25.95</v>
      </c>
      <c r="I35" s="450"/>
      <c r="J35" s="450"/>
      <c r="K35" s="136"/>
      <c r="L35" s="136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722.52940000000001</v>
      </c>
      <c r="I36" s="451"/>
      <c r="J36" s="451"/>
      <c r="K36" s="136"/>
      <c r="L36" s="136"/>
    </row>
    <row r="37" spans="1:12" ht="15.75" thickBot="1" x14ac:dyDescent="0.3">
      <c r="A37" s="458" t="s">
        <v>72</v>
      </c>
      <c r="B37" s="459"/>
      <c r="C37" s="459"/>
      <c r="D37" s="725"/>
      <c r="E37" s="587">
        <f>H19+H30+H36</f>
        <v>1696.511275024</v>
      </c>
      <c r="F37" s="498"/>
      <c r="G37" s="498"/>
      <c r="H37" s="498"/>
      <c r="I37" s="498"/>
      <c r="J37" s="499"/>
      <c r="K37" s="136"/>
      <c r="L37" s="136"/>
    </row>
    <row r="38" spans="1:12" ht="11.2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  <c r="L38" s="136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2" t="s">
        <v>2</v>
      </c>
      <c r="B40" s="453"/>
      <c r="C40" s="452" t="s">
        <v>51</v>
      </c>
      <c r="D40" s="453"/>
      <c r="E40" s="157"/>
      <c r="F40" s="158"/>
      <c r="G40" s="159"/>
      <c r="H40" s="456">
        <f>E12/12*5%</f>
        <v>6.2677500000000004</v>
      </c>
      <c r="I40" s="457"/>
      <c r="J40" s="453"/>
      <c r="K40" s="136"/>
      <c r="L40" s="136"/>
    </row>
    <row r="41" spans="1:12" x14ac:dyDescent="0.25">
      <c r="A41" s="452" t="s">
        <v>7</v>
      </c>
      <c r="B41" s="453"/>
      <c r="C41" s="452" t="s">
        <v>52</v>
      </c>
      <c r="D41" s="453"/>
      <c r="E41" s="157"/>
      <c r="F41" s="158"/>
      <c r="G41" s="159"/>
      <c r="H41" s="456">
        <f>H40*8%</f>
        <v>0.50142000000000009</v>
      </c>
      <c r="I41" s="457"/>
      <c r="J41" s="453"/>
      <c r="K41" s="136"/>
      <c r="L41" s="136"/>
    </row>
    <row r="42" spans="1:12" ht="30.7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  <c r="L42" s="136"/>
    </row>
    <row r="43" spans="1:12" x14ac:dyDescent="0.25">
      <c r="A43" s="481" t="s">
        <v>9</v>
      </c>
      <c r="B43" s="481"/>
      <c r="C43" s="482" t="s">
        <v>54</v>
      </c>
      <c r="D43" s="483"/>
      <c r="E43" s="480"/>
      <c r="F43" s="480"/>
      <c r="G43" s="480"/>
      <c r="H43" s="450">
        <f>E12/30/12*7*100%</f>
        <v>29.249500000000005</v>
      </c>
      <c r="I43" s="450"/>
      <c r="J43" s="450"/>
      <c r="K43" s="136"/>
      <c r="L43" s="136"/>
    </row>
    <row r="44" spans="1:12" ht="30.75" customHeight="1" x14ac:dyDescent="0.25">
      <c r="A44" s="481" t="s">
        <v>10</v>
      </c>
      <c r="B44" s="481"/>
      <c r="C44" s="478" t="s">
        <v>83</v>
      </c>
      <c r="D44" s="479"/>
      <c r="E44" s="480"/>
      <c r="F44" s="480"/>
      <c r="G44" s="480"/>
      <c r="H44" s="450">
        <f>H43*39.8%</f>
        <v>11.641301</v>
      </c>
      <c r="I44" s="450"/>
      <c r="J44" s="450"/>
      <c r="K44" s="136"/>
      <c r="L44" s="136"/>
    </row>
    <row r="45" spans="1:12" ht="30.75" customHeight="1" thickBot="1" x14ac:dyDescent="0.3">
      <c r="A45" s="473" t="s">
        <v>11</v>
      </c>
      <c r="B45" s="474"/>
      <c r="C45" s="475" t="s">
        <v>53</v>
      </c>
      <c r="D45" s="476"/>
      <c r="E45" s="467"/>
      <c r="F45" s="468"/>
      <c r="G45" s="469"/>
      <c r="H45" s="470">
        <f>E12*5%</f>
        <v>75.213000000000008</v>
      </c>
      <c r="I45" s="471"/>
      <c r="J45" s="472"/>
      <c r="K45" s="136"/>
      <c r="L45" s="136"/>
    </row>
    <row r="46" spans="1:12" ht="15.75" thickBot="1" x14ac:dyDescent="0.3">
      <c r="A46" s="570" t="s">
        <v>333</v>
      </c>
      <c r="B46" s="571"/>
      <c r="C46" s="571"/>
      <c r="D46" s="571"/>
      <c r="E46" s="571"/>
      <c r="F46" s="571"/>
      <c r="G46" s="571"/>
      <c r="H46" s="547">
        <f>SUM(H40:J45)</f>
        <v>122.87297100000001</v>
      </c>
      <c r="I46" s="485"/>
      <c r="J46" s="486"/>
      <c r="K46" s="136"/>
      <c r="L46" s="136"/>
    </row>
    <row r="47" spans="1:12" ht="8.25" customHeight="1" thickBot="1" x14ac:dyDescent="0.3">
      <c r="E47" s="160"/>
      <c r="F47" s="160"/>
      <c r="G47" s="160"/>
      <c r="H47" s="161"/>
      <c r="I47" s="161"/>
      <c r="J47" s="161"/>
      <c r="K47" s="136"/>
      <c r="L47" s="136"/>
    </row>
    <row r="48" spans="1:12" ht="33" customHeight="1" thickBot="1" x14ac:dyDescent="0.3">
      <c r="A48" s="494" t="s">
        <v>128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2" t="s">
        <v>2</v>
      </c>
      <c r="B49" s="453"/>
      <c r="C49" s="452" t="s">
        <v>56</v>
      </c>
      <c r="D49" s="453"/>
      <c r="E49" s="157"/>
      <c r="F49" s="158"/>
      <c r="G49" s="159"/>
      <c r="H49" s="456">
        <f>E20/12*5%</f>
        <v>3.2583333333333336E-4</v>
      </c>
      <c r="I49" s="457"/>
      <c r="J49" s="453"/>
      <c r="K49" s="136"/>
      <c r="L49" s="136"/>
    </row>
    <row r="50" spans="1:12" x14ac:dyDescent="0.25">
      <c r="A50" s="452" t="s">
        <v>7</v>
      </c>
      <c r="B50" s="453"/>
      <c r="C50" s="452" t="s">
        <v>57</v>
      </c>
      <c r="D50" s="453"/>
      <c r="E50" s="157"/>
      <c r="F50" s="158"/>
      <c r="G50" s="159"/>
      <c r="H50" s="456">
        <f>E12/30/12</f>
        <v>4.1785000000000005</v>
      </c>
      <c r="I50" s="457"/>
      <c r="J50" s="453"/>
      <c r="K50" s="136"/>
      <c r="L50" s="136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0.31338750000000004</v>
      </c>
      <c r="I51" s="450"/>
      <c r="J51" s="450"/>
      <c r="K51" s="136"/>
      <c r="L51" s="136"/>
    </row>
    <row r="52" spans="1:12" ht="29.25" customHeight="1" x14ac:dyDescent="0.25">
      <c r="A52" s="481" t="s">
        <v>9</v>
      </c>
      <c r="B52" s="481"/>
      <c r="C52" s="284" t="s">
        <v>59</v>
      </c>
      <c r="D52" s="286"/>
      <c r="E52" s="480"/>
      <c r="F52" s="480"/>
      <c r="G52" s="480"/>
      <c r="H52" s="450">
        <f>E12/30/12*15*8%</f>
        <v>5.0142000000000007</v>
      </c>
      <c r="I52" s="450"/>
      <c r="J52" s="450"/>
      <c r="K52" s="136"/>
      <c r="L52" s="136"/>
    </row>
    <row r="53" spans="1:12" x14ac:dyDescent="0.25">
      <c r="A53" s="481" t="s">
        <v>10</v>
      </c>
      <c r="B53" s="481"/>
      <c r="C53" s="478" t="s">
        <v>60</v>
      </c>
      <c r="D53" s="479"/>
      <c r="E53" s="480"/>
      <c r="F53" s="480"/>
      <c r="G53" s="480"/>
      <c r="H53" s="450">
        <f>E20*5%</f>
        <v>3.9100000000000003E-3</v>
      </c>
      <c r="I53" s="450"/>
      <c r="J53" s="450"/>
      <c r="K53" s="136"/>
      <c r="L53" s="136"/>
    </row>
    <row r="54" spans="1:12" x14ac:dyDescent="0.25">
      <c r="A54" s="481" t="s">
        <v>11</v>
      </c>
      <c r="B54" s="481"/>
      <c r="C54" s="478" t="s">
        <v>61</v>
      </c>
      <c r="D54" s="479"/>
      <c r="E54" s="480"/>
      <c r="F54" s="480"/>
      <c r="G54" s="480"/>
      <c r="H54" s="450">
        <f>E12/30/12*5*40%</f>
        <v>8.3570000000000011</v>
      </c>
      <c r="I54" s="450"/>
      <c r="J54" s="450"/>
      <c r="K54" s="136"/>
      <c r="L54" s="136"/>
    </row>
    <row r="55" spans="1:12" ht="30" customHeight="1" x14ac:dyDescent="0.25">
      <c r="A55" s="481" t="s">
        <v>39</v>
      </c>
      <c r="B55" s="481"/>
      <c r="C55" s="478" t="s">
        <v>62</v>
      </c>
      <c r="D55" s="479"/>
      <c r="E55" s="480"/>
      <c r="F55" s="480"/>
      <c r="G55" s="480"/>
      <c r="H55" s="450">
        <f>SUM(H49:J54)*39.8%</f>
        <v>7.1111946866666669</v>
      </c>
      <c r="I55" s="450"/>
      <c r="J55" s="450"/>
      <c r="K55" s="136"/>
      <c r="L55" s="136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24.978518020000003</v>
      </c>
      <c r="I56" s="592"/>
      <c r="J56" s="592"/>
      <c r="K56" s="136"/>
      <c r="L56" s="136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2.25" customHeight="1" x14ac:dyDescent="0.25">
      <c r="A58" s="452" t="s">
        <v>2</v>
      </c>
      <c r="B58" s="453"/>
      <c r="C58" s="454" t="s">
        <v>64</v>
      </c>
      <c r="D58" s="455"/>
      <c r="E58" s="157"/>
      <c r="F58" s="158"/>
      <c r="G58" s="159"/>
      <c r="H58" s="456">
        <f>((((E12+(E12/3))*0.3333)/12)*2%)</f>
        <v>1.1141552400000001</v>
      </c>
      <c r="I58" s="457"/>
      <c r="J58" s="453"/>
      <c r="K58" s="136"/>
      <c r="L58" s="136"/>
    </row>
    <row r="59" spans="1:12" ht="45.75" customHeight="1" x14ac:dyDescent="0.25">
      <c r="A59" s="452" t="s">
        <v>7</v>
      </c>
      <c r="B59" s="453"/>
      <c r="C59" s="454" t="s">
        <v>65</v>
      </c>
      <c r="D59" s="455"/>
      <c r="E59" s="157"/>
      <c r="F59" s="158"/>
      <c r="G59" s="159"/>
      <c r="H59" s="456">
        <f>H58*39.8%</f>
        <v>0.44343378552000001</v>
      </c>
      <c r="I59" s="457"/>
      <c r="J59" s="453"/>
      <c r="K59" s="136"/>
      <c r="L59" s="136"/>
    </row>
    <row r="60" spans="1:12" ht="45.7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4.3194549778034395</v>
      </c>
      <c r="I60" s="450"/>
      <c r="J60" s="450"/>
      <c r="K60" s="136"/>
      <c r="L60" s="136"/>
    </row>
    <row r="61" spans="1:12" x14ac:dyDescent="0.25">
      <c r="A61" s="481" t="s">
        <v>9</v>
      </c>
      <c r="B61" s="481"/>
      <c r="C61" s="482" t="s">
        <v>67</v>
      </c>
      <c r="D61" s="483"/>
      <c r="E61" s="480"/>
      <c r="F61" s="480"/>
      <c r="G61" s="480"/>
      <c r="H61" s="450"/>
      <c r="I61" s="450"/>
      <c r="J61" s="450"/>
      <c r="K61" s="136"/>
      <c r="L61" s="136"/>
    </row>
    <row r="62" spans="1:12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5.877044003323439</v>
      </c>
      <c r="I62" s="592"/>
      <c r="J62" s="592"/>
      <c r="K62" s="136"/>
      <c r="L62" s="136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3" customHeight="1" x14ac:dyDescent="0.25">
      <c r="A64" s="452" t="s">
        <v>2</v>
      </c>
      <c r="B64" s="453"/>
      <c r="C64" s="454" t="s">
        <v>69</v>
      </c>
      <c r="D64" s="455"/>
      <c r="E64" s="157"/>
      <c r="F64" s="158"/>
      <c r="G64" s="159"/>
      <c r="H64" s="456">
        <f>((((E18+(E18/3))*0.3333)/12)*2%)</f>
        <v>8.9620666666666654E-5</v>
      </c>
      <c r="I64" s="457"/>
      <c r="J64" s="453"/>
      <c r="K64" s="136"/>
      <c r="L64" s="136"/>
    </row>
    <row r="65" spans="1:12" ht="29.25" customHeight="1" x14ac:dyDescent="0.25">
      <c r="A65" s="452" t="s">
        <v>7</v>
      </c>
      <c r="B65" s="453"/>
      <c r="C65" s="454" t="s">
        <v>70</v>
      </c>
      <c r="D65" s="455"/>
      <c r="E65" s="157"/>
      <c r="F65" s="158"/>
      <c r="G65" s="159"/>
      <c r="H65" s="456">
        <f>H64*39.8%</f>
        <v>3.5669025333333325E-5</v>
      </c>
      <c r="I65" s="457"/>
      <c r="J65" s="453"/>
      <c r="K65" s="136"/>
      <c r="L65" s="136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  <c r="L66" s="136"/>
    </row>
    <row r="67" spans="1:12" ht="15.75" thickBot="1" x14ac:dyDescent="0.3">
      <c r="A67" s="564" t="s">
        <v>71</v>
      </c>
      <c r="B67" s="565"/>
      <c r="C67" s="565"/>
      <c r="D67" s="565"/>
      <c r="E67" s="831">
        <f>H66+H62+H56</f>
        <v>30.855687313015441</v>
      </c>
      <c r="F67" s="832"/>
      <c r="G67" s="832"/>
      <c r="H67" s="832"/>
      <c r="I67" s="832"/>
      <c r="J67" s="833"/>
      <c r="K67" s="136"/>
      <c r="L67" s="136"/>
    </row>
    <row r="68" spans="1:12" ht="11.25" customHeight="1" thickBot="1" x14ac:dyDescent="0.3">
      <c r="A68" s="135"/>
      <c r="B68" s="135"/>
      <c r="C68" s="135"/>
      <c r="D68" s="135"/>
      <c r="E68" s="135"/>
      <c r="F68" s="135"/>
      <c r="G68" s="135"/>
      <c r="H68" s="135"/>
      <c r="I68" s="135"/>
      <c r="J68" s="135"/>
      <c r="K68" s="136"/>
      <c r="L68" s="136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2" t="s">
        <v>2</v>
      </c>
      <c r="B70" s="453"/>
      <c r="C70" s="452" t="s">
        <v>74</v>
      </c>
      <c r="D70" s="453"/>
      <c r="E70" s="452"/>
      <c r="F70" s="457"/>
      <c r="G70" s="453"/>
      <c r="H70" s="456">
        <v>300</v>
      </c>
      <c r="I70" s="457"/>
      <c r="J70" s="453"/>
      <c r="K70" s="136"/>
      <c r="L70" s="136"/>
    </row>
    <row r="71" spans="1:12" x14ac:dyDescent="0.25">
      <c r="A71" s="452" t="s">
        <v>7</v>
      </c>
      <c r="B71" s="453"/>
      <c r="C71" s="452" t="s">
        <v>75</v>
      </c>
      <c r="D71" s="453"/>
      <c r="E71" s="157"/>
      <c r="F71" s="158"/>
      <c r="G71" s="159"/>
      <c r="H71" s="456">
        <v>5</v>
      </c>
      <c r="I71" s="457"/>
      <c r="J71" s="453"/>
      <c r="K71" s="136"/>
      <c r="L71" s="136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43.5</v>
      </c>
      <c r="I72" s="450"/>
      <c r="J72" s="450"/>
      <c r="K72" s="136"/>
      <c r="L72" s="136"/>
    </row>
    <row r="73" spans="1:12" ht="15.75" thickBot="1" x14ac:dyDescent="0.3">
      <c r="A73" s="477" t="s">
        <v>9</v>
      </c>
      <c r="B73" s="477"/>
      <c r="C73" s="473" t="s">
        <v>28</v>
      </c>
      <c r="D73" s="474"/>
      <c r="E73" s="448"/>
      <c r="F73" s="448"/>
      <c r="G73" s="448"/>
      <c r="H73" s="449">
        <v>5</v>
      </c>
      <c r="I73" s="449"/>
      <c r="J73" s="449"/>
      <c r="K73" s="136"/>
      <c r="L73" s="136"/>
    </row>
    <row r="74" spans="1:12" ht="15.75" thickBot="1" x14ac:dyDescent="0.3">
      <c r="A74" s="570" t="s">
        <v>336</v>
      </c>
      <c r="B74" s="571"/>
      <c r="C74" s="571"/>
      <c r="D74" s="571"/>
      <c r="E74" s="571"/>
      <c r="F74" s="571"/>
      <c r="G74" s="571"/>
      <c r="H74" s="547">
        <f>SUM(H70:J73)</f>
        <v>353.5</v>
      </c>
      <c r="I74" s="485"/>
      <c r="J74" s="486"/>
      <c r="K74" s="136"/>
      <c r="L74" s="136"/>
    </row>
    <row r="75" spans="1:12" ht="9.75" customHeight="1" thickBot="1" x14ac:dyDescent="0.3">
      <c r="E75" s="160"/>
      <c r="F75" s="160"/>
      <c r="G75" s="160"/>
      <c r="H75" s="161"/>
      <c r="I75" s="161"/>
      <c r="J75" s="161"/>
      <c r="K75" s="136"/>
      <c r="L75" s="136"/>
    </row>
    <row r="76" spans="1:12" ht="26.25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2" t="s">
        <v>2</v>
      </c>
      <c r="B77" s="453"/>
      <c r="C77" s="452" t="s">
        <v>77</v>
      </c>
      <c r="D77" s="453"/>
      <c r="E77" s="537">
        <v>7.0000000000000007E-2</v>
      </c>
      <c r="F77" s="457"/>
      <c r="G77" s="453"/>
      <c r="H77" s="456">
        <f>(H74+E67+H46+E37+E12)*E77</f>
        <v>259.55999533359108</v>
      </c>
      <c r="I77" s="457"/>
      <c r="J77" s="453"/>
      <c r="K77" s="136"/>
      <c r="L77" s="136"/>
    </row>
    <row r="78" spans="1:12" x14ac:dyDescent="0.25">
      <c r="A78" s="452" t="s">
        <v>7</v>
      </c>
      <c r="B78" s="453"/>
      <c r="C78" s="452" t="s">
        <v>12</v>
      </c>
      <c r="D78" s="453"/>
      <c r="E78" s="537">
        <v>7.5774185115783349E-2</v>
      </c>
      <c r="F78" s="457"/>
      <c r="G78" s="453"/>
      <c r="H78" s="456">
        <f>E78*(H74+E67+H46+E37+E12)</f>
        <v>280.9706733579913</v>
      </c>
      <c r="I78" s="457"/>
      <c r="J78" s="453"/>
      <c r="K78" s="136"/>
      <c r="L78" s="136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450">
        <f>(H74+E67+H46+E37+E12)/E79</f>
        <v>4324.1981729877725</v>
      </c>
      <c r="I79" s="450"/>
      <c r="J79" s="450"/>
      <c r="K79" s="136"/>
      <c r="L79" s="136"/>
    </row>
    <row r="80" spans="1:12" x14ac:dyDescent="0.25">
      <c r="A80" s="481" t="s">
        <v>9</v>
      </c>
      <c r="B80" s="481"/>
      <c r="C80" s="482" t="s">
        <v>79</v>
      </c>
      <c r="D80" s="483"/>
      <c r="E80" s="480">
        <v>1.6500000000000001E-2</v>
      </c>
      <c r="F80" s="480"/>
      <c r="G80" s="480"/>
      <c r="H80" s="450">
        <f>E80*H87</f>
        <v>54.550980000000003</v>
      </c>
      <c r="I80" s="450"/>
      <c r="J80" s="450"/>
      <c r="K80" s="136"/>
      <c r="L80" s="136"/>
    </row>
    <row r="81" spans="1:12" x14ac:dyDescent="0.25">
      <c r="A81" s="481" t="s">
        <v>9</v>
      </c>
      <c r="B81" s="481"/>
      <c r="C81" s="482" t="s">
        <v>80</v>
      </c>
      <c r="D81" s="483"/>
      <c r="E81" s="480">
        <v>7.5999999999999998E-2</v>
      </c>
      <c r="F81" s="480"/>
      <c r="G81" s="480"/>
      <c r="H81" s="450">
        <f>E81*H87</f>
        <v>251.26512</v>
      </c>
      <c r="I81" s="450"/>
      <c r="J81" s="450"/>
      <c r="K81" s="136"/>
      <c r="L81" s="136"/>
    </row>
    <row r="82" spans="1:12" x14ac:dyDescent="0.25">
      <c r="A82" s="481" t="s">
        <v>10</v>
      </c>
      <c r="B82" s="481"/>
      <c r="C82" s="482" t="s">
        <v>81</v>
      </c>
      <c r="D82" s="483"/>
      <c r="E82" s="480"/>
      <c r="F82" s="480"/>
      <c r="G82" s="480"/>
      <c r="H82" s="450"/>
      <c r="I82" s="450"/>
      <c r="J82" s="450"/>
      <c r="K82" s="136"/>
      <c r="L82" s="136"/>
    </row>
    <row r="83" spans="1:12" ht="15.75" thickBot="1" x14ac:dyDescent="0.3">
      <c r="A83" s="477" t="s">
        <v>11</v>
      </c>
      <c r="B83" s="477"/>
      <c r="C83" s="473" t="s">
        <v>82</v>
      </c>
      <c r="D83" s="474"/>
      <c r="E83" s="448">
        <v>0.05</v>
      </c>
      <c r="F83" s="448"/>
      <c r="G83" s="448"/>
      <c r="H83" s="449">
        <f>E83*H87</f>
        <v>165.30600000000001</v>
      </c>
      <c r="I83" s="449"/>
      <c r="J83" s="449"/>
      <c r="K83" s="136"/>
      <c r="L83" s="136"/>
    </row>
    <row r="84" spans="1:12" ht="15.75" thickBot="1" x14ac:dyDescent="0.3">
      <c r="A84" s="570" t="s">
        <v>340</v>
      </c>
      <c r="B84" s="571"/>
      <c r="C84" s="571"/>
      <c r="D84" s="571"/>
      <c r="E84" s="571"/>
      <c r="F84" s="571"/>
      <c r="G84" s="571"/>
      <c r="H84" s="547">
        <f>H77+H78+H80+H81+H83</f>
        <v>1011.6527686915824</v>
      </c>
      <c r="I84" s="485"/>
      <c r="J84" s="486"/>
      <c r="K84" s="136"/>
      <c r="L84" s="136"/>
    </row>
    <row r="85" spans="1:12" ht="11.25" customHeight="1" thickBot="1" x14ac:dyDescent="0.3">
      <c r="E85" s="160"/>
      <c r="F85" s="160"/>
      <c r="G85" s="160"/>
      <c r="H85" s="161"/>
      <c r="I85" s="161"/>
      <c r="J85" s="161"/>
      <c r="K85" s="136"/>
      <c r="L85" s="136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722">
        <f>SUM(H84+H74+E67+H46+E37+E12)</f>
        <v>4719.6527020285985</v>
      </c>
      <c r="I86" s="723"/>
      <c r="J86" s="724"/>
    </row>
    <row r="87" spans="1:12" ht="15.75" thickBot="1" x14ac:dyDescent="0.3">
      <c r="H87" s="162">
        <v>3306.12</v>
      </c>
      <c r="I87" s="162"/>
      <c r="J87" s="162"/>
    </row>
  </sheetData>
  <mergeCells count="230">
    <mergeCell ref="A1:J1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49995422223578601"/>
  </sheetPr>
  <dimension ref="A1:L92"/>
  <sheetViews>
    <sheetView workbookViewId="0">
      <selection activeCell="L77" sqref="L77"/>
    </sheetView>
  </sheetViews>
  <sheetFormatPr defaultRowHeight="15" x14ac:dyDescent="0.25"/>
  <cols>
    <col min="1" max="1" width="6.7109375" style="134" customWidth="1"/>
    <col min="2" max="2" width="2" style="134" bestFit="1" customWidth="1"/>
    <col min="3" max="3" width="10.42578125" style="134" customWidth="1"/>
    <col min="4" max="4" width="43.7109375" style="134" customWidth="1"/>
    <col min="5" max="7" width="3.28515625" style="116" customWidth="1"/>
    <col min="8" max="8" width="3" style="134" customWidth="1"/>
    <col min="9" max="9" width="5.7109375" style="134" hidden="1" customWidth="1"/>
    <col min="10" max="10" width="8.710937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363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45"/>
      <c r="L5" s="145"/>
    </row>
    <row r="6" spans="1:12" x14ac:dyDescent="0.25">
      <c r="A6" s="123" t="s">
        <v>2</v>
      </c>
      <c r="B6" s="606" t="s">
        <v>1</v>
      </c>
      <c r="C6" s="607"/>
      <c r="D6" s="608"/>
      <c r="E6" s="567">
        <v>1137.23</v>
      </c>
      <c r="F6" s="568"/>
      <c r="G6" s="568"/>
      <c r="H6" s="568"/>
      <c r="I6" s="568"/>
      <c r="J6" s="568"/>
      <c r="K6" s="145"/>
      <c r="L6" s="145"/>
    </row>
    <row r="7" spans="1:12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45"/>
      <c r="L7" s="145"/>
    </row>
    <row r="8" spans="1:12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45"/>
      <c r="L8" s="145"/>
    </row>
    <row r="9" spans="1:12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45"/>
      <c r="L9" s="145"/>
    </row>
    <row r="10" spans="1:12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45"/>
      <c r="L10" s="145"/>
    </row>
    <row r="11" spans="1:12" ht="30" customHeight="1" thickBot="1" x14ac:dyDescent="0.3">
      <c r="A11" s="125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45"/>
      <c r="L11" s="145"/>
    </row>
    <row r="12" spans="1:12" ht="15.75" thickBot="1" x14ac:dyDescent="0.3">
      <c r="A12" s="458" t="s">
        <v>330</v>
      </c>
      <c r="B12" s="459"/>
      <c r="C12" s="459"/>
      <c r="D12" s="725"/>
      <c r="E12" s="547">
        <f>SUM(E6:J11)</f>
        <v>1137.23</v>
      </c>
      <c r="F12" s="485"/>
      <c r="G12" s="485"/>
      <c r="H12" s="485"/>
      <c r="I12" s="485"/>
      <c r="J12" s="486"/>
      <c r="K12" s="145"/>
      <c r="L12" s="145"/>
    </row>
    <row r="13" spans="1:12" ht="29.25" customHeight="1" x14ac:dyDescent="0.25">
      <c r="A13" s="551" t="s">
        <v>29</v>
      </c>
      <c r="B13" s="715"/>
      <c r="C13" s="715"/>
      <c r="D13" s="716"/>
      <c r="E13" s="548">
        <f>E12*E30</f>
        <v>418.50064000000009</v>
      </c>
      <c r="F13" s="549"/>
      <c r="G13" s="549"/>
      <c r="H13" s="549"/>
      <c r="I13" s="549"/>
      <c r="J13" s="550"/>
      <c r="K13" s="145"/>
      <c r="L13" s="145"/>
    </row>
    <row r="14" spans="1:12" ht="10.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45"/>
      <c r="L14" s="145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3" t="s">
        <v>2</v>
      </c>
      <c r="B17" s="482" t="s">
        <v>34</v>
      </c>
      <c r="C17" s="521"/>
      <c r="D17" s="483"/>
      <c r="E17" s="322">
        <v>8.3299999999999999E-2</v>
      </c>
      <c r="F17" s="323"/>
      <c r="G17" s="324"/>
      <c r="H17" s="450">
        <f>E17*E12</f>
        <v>94.731258999999994</v>
      </c>
      <c r="I17" s="450"/>
      <c r="J17" s="450"/>
      <c r="K17" s="145"/>
      <c r="L17" s="145"/>
    </row>
    <row r="18" spans="1:12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137.60482999999999</v>
      </c>
      <c r="I18" s="450"/>
      <c r="J18" s="450"/>
      <c r="K18" s="145"/>
      <c r="L18" s="145"/>
    </row>
    <row r="19" spans="1:12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232.33608899999999</v>
      </c>
      <c r="I19" s="525"/>
      <c r="J19" s="525"/>
      <c r="K19" s="145"/>
      <c r="L19" s="145"/>
    </row>
    <row r="20" spans="1:12" ht="31.5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88.931386000000003</v>
      </c>
      <c r="I20" s="291"/>
      <c r="J20" s="292"/>
      <c r="K20" s="145"/>
      <c r="L20" s="145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273.91321779999998</v>
      </c>
      <c r="I22" s="450"/>
      <c r="J22" s="450"/>
      <c r="K22" s="145"/>
      <c r="L22" s="145"/>
    </row>
    <row r="23" spans="1:12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34.239152224999998</v>
      </c>
      <c r="I23" s="450"/>
      <c r="J23" s="450"/>
      <c r="K23" s="145"/>
      <c r="L23" s="145"/>
    </row>
    <row r="24" spans="1:12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41.086982669999998</v>
      </c>
      <c r="I24" s="450"/>
      <c r="J24" s="450"/>
      <c r="K24" s="145"/>
      <c r="L24" s="145"/>
    </row>
    <row r="25" spans="1:12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20.543491334999999</v>
      </c>
      <c r="I25" s="450"/>
      <c r="J25" s="450"/>
      <c r="K25" s="145"/>
      <c r="L25" s="145"/>
    </row>
    <row r="26" spans="1:12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13.695660889999999</v>
      </c>
      <c r="I26" s="450"/>
      <c r="J26" s="450"/>
      <c r="K26" s="145"/>
      <c r="L26" s="145"/>
    </row>
    <row r="27" spans="1:12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8.2173965339999988</v>
      </c>
      <c r="I27" s="450"/>
      <c r="J27" s="450"/>
      <c r="K27" s="145"/>
      <c r="L27" s="145"/>
    </row>
    <row r="28" spans="1:12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2.7391321779999998</v>
      </c>
      <c r="I28" s="450"/>
      <c r="J28" s="450"/>
      <c r="K28" s="145"/>
      <c r="L28" s="145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109.56528711999999</v>
      </c>
      <c r="I29" s="450"/>
      <c r="J29" s="450"/>
      <c r="K29" s="145"/>
      <c r="L29" s="145"/>
    </row>
    <row r="30" spans="1:12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504.00032075199994</v>
      </c>
      <c r="I30" s="592"/>
      <c r="J30" s="592"/>
      <c r="K30" s="145"/>
      <c r="L30" s="145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(3.9*2*25.5)-6%*E6</f>
        <v>130.6662</v>
      </c>
      <c r="I32" s="450"/>
      <c r="J32" s="450"/>
      <c r="K32" s="145"/>
      <c r="L32" s="145"/>
    </row>
    <row r="33" spans="1:12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(21.63*25.5)-20%</f>
        <v>551.3649999999999</v>
      </c>
      <c r="I33" s="450"/>
      <c r="J33" s="450"/>
      <c r="K33" s="145"/>
      <c r="L33" s="145"/>
    </row>
    <row r="34" spans="1:12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45"/>
      <c r="L34" s="145"/>
    </row>
    <row r="35" spans="1:12" x14ac:dyDescent="0.25">
      <c r="A35" s="482" t="s">
        <v>9</v>
      </c>
      <c r="B35" s="483"/>
      <c r="C35" s="478" t="s">
        <v>28</v>
      </c>
      <c r="D35" s="479"/>
      <c r="E35" s="497"/>
      <c r="F35" s="497"/>
      <c r="G35" s="497"/>
      <c r="H35" s="450">
        <v>25.95</v>
      </c>
      <c r="I35" s="450"/>
      <c r="J35" s="450"/>
      <c r="K35" s="145"/>
      <c r="L35" s="145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744.55119999999999</v>
      </c>
      <c r="I36" s="451"/>
      <c r="J36" s="451"/>
      <c r="K36" s="145"/>
      <c r="L36" s="145"/>
    </row>
    <row r="37" spans="1:12" ht="15.75" thickBot="1" x14ac:dyDescent="0.3">
      <c r="A37" s="458" t="s">
        <v>72</v>
      </c>
      <c r="B37" s="459"/>
      <c r="C37" s="459"/>
      <c r="D37" s="725"/>
      <c r="E37" s="587">
        <f>H19+H30+H36</f>
        <v>1480.8876097519999</v>
      </c>
      <c r="F37" s="498"/>
      <c r="G37" s="498"/>
      <c r="H37" s="498"/>
      <c r="I37" s="498"/>
      <c r="J37" s="499"/>
      <c r="K37" s="145"/>
      <c r="L37" s="145"/>
    </row>
    <row r="38" spans="1:12" ht="10.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45"/>
      <c r="L38" s="145"/>
    </row>
    <row r="39" spans="1:12" ht="27" customHeight="1" thickBot="1" x14ac:dyDescent="0.3">
      <c r="A39" s="494" t="s">
        <v>131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2" t="s">
        <v>2</v>
      </c>
      <c r="B40" s="453"/>
      <c r="C40" s="452" t="s">
        <v>51</v>
      </c>
      <c r="D40" s="453"/>
      <c r="E40" s="128"/>
      <c r="F40" s="129"/>
      <c r="G40" s="130"/>
      <c r="H40" s="456">
        <f>E12/12*5%</f>
        <v>4.738458333333333</v>
      </c>
      <c r="I40" s="457"/>
      <c r="J40" s="453"/>
      <c r="K40" s="145"/>
      <c r="L40" s="145"/>
    </row>
    <row r="41" spans="1:12" x14ac:dyDescent="0.25">
      <c r="A41" s="452" t="s">
        <v>7</v>
      </c>
      <c r="B41" s="453"/>
      <c r="C41" s="452" t="s">
        <v>52</v>
      </c>
      <c r="D41" s="453"/>
      <c r="E41" s="128"/>
      <c r="F41" s="129"/>
      <c r="G41" s="130"/>
      <c r="H41" s="456">
        <f>H40*8%</f>
        <v>0.37907666666666667</v>
      </c>
      <c r="I41" s="457"/>
      <c r="J41" s="453"/>
      <c r="K41" s="145"/>
      <c r="L41" s="145"/>
    </row>
    <row r="42" spans="1:12" ht="28.5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45"/>
      <c r="L42" s="145"/>
    </row>
    <row r="43" spans="1:12" x14ac:dyDescent="0.25">
      <c r="A43" s="481" t="s">
        <v>9</v>
      </c>
      <c r="B43" s="481"/>
      <c r="C43" s="482" t="s">
        <v>54</v>
      </c>
      <c r="D43" s="483"/>
      <c r="E43" s="497"/>
      <c r="F43" s="497"/>
      <c r="G43" s="497"/>
      <c r="H43" s="450">
        <f>E12/30/12*7*100%</f>
        <v>22.112805555555553</v>
      </c>
      <c r="I43" s="450"/>
      <c r="J43" s="450"/>
      <c r="K43" s="145"/>
      <c r="L43" s="145"/>
    </row>
    <row r="44" spans="1:12" ht="30" customHeight="1" x14ac:dyDescent="0.25">
      <c r="A44" s="481" t="s">
        <v>10</v>
      </c>
      <c r="B44" s="481"/>
      <c r="C44" s="478" t="s">
        <v>83</v>
      </c>
      <c r="D44" s="479"/>
      <c r="E44" s="497"/>
      <c r="F44" s="497"/>
      <c r="G44" s="497"/>
      <c r="H44" s="450">
        <f>H43*39.8%</f>
        <v>8.80089661111111</v>
      </c>
      <c r="I44" s="450"/>
      <c r="J44" s="450"/>
      <c r="K44" s="145"/>
      <c r="L44" s="145"/>
    </row>
    <row r="45" spans="1:12" ht="31.5" customHeight="1" thickBot="1" x14ac:dyDescent="0.3">
      <c r="A45" s="473" t="s">
        <v>11</v>
      </c>
      <c r="B45" s="474"/>
      <c r="C45" s="834" t="s">
        <v>53</v>
      </c>
      <c r="D45" s="835"/>
      <c r="E45" s="836"/>
      <c r="F45" s="837"/>
      <c r="G45" s="838"/>
      <c r="H45" s="470">
        <f>E12*5%</f>
        <v>56.861500000000007</v>
      </c>
      <c r="I45" s="471"/>
      <c r="J45" s="472"/>
      <c r="K45" s="145"/>
      <c r="L45" s="145"/>
    </row>
    <row r="46" spans="1:12" ht="15.75" thickBot="1" x14ac:dyDescent="0.3">
      <c r="A46" s="570" t="s">
        <v>333</v>
      </c>
      <c r="B46" s="571"/>
      <c r="C46" s="571"/>
      <c r="D46" s="571"/>
      <c r="E46" s="571"/>
      <c r="F46" s="571"/>
      <c r="G46" s="571"/>
      <c r="H46" s="547">
        <f>SUM(H40:J45)</f>
        <v>92.892737166666677</v>
      </c>
      <c r="I46" s="485"/>
      <c r="J46" s="486"/>
      <c r="K46" s="145"/>
      <c r="L46" s="145"/>
    </row>
    <row r="47" spans="1:12" ht="9" customHeight="1" thickBot="1" x14ac:dyDescent="0.3">
      <c r="E47" s="131"/>
      <c r="F47" s="131"/>
      <c r="G47" s="131"/>
      <c r="H47" s="161"/>
      <c r="I47" s="161"/>
      <c r="J47" s="161"/>
      <c r="K47" s="145"/>
      <c r="L47" s="145"/>
    </row>
    <row r="48" spans="1:12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2" t="s">
        <v>2</v>
      </c>
      <c r="B49" s="453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45"/>
      <c r="L49" s="145"/>
    </row>
    <row r="50" spans="1:12" x14ac:dyDescent="0.25">
      <c r="A50" s="452" t="s">
        <v>7</v>
      </c>
      <c r="B50" s="453"/>
      <c r="C50" s="452" t="s">
        <v>57</v>
      </c>
      <c r="D50" s="453"/>
      <c r="E50" s="128"/>
      <c r="F50" s="129"/>
      <c r="G50" s="130"/>
      <c r="H50" s="456">
        <f>E12/30/12</f>
        <v>3.1589722222222218</v>
      </c>
      <c r="I50" s="457"/>
      <c r="J50" s="453"/>
      <c r="K50" s="145"/>
      <c r="L50" s="145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0.23692291666666662</v>
      </c>
      <c r="I51" s="450"/>
      <c r="J51" s="450"/>
      <c r="K51" s="145"/>
      <c r="L51" s="145"/>
    </row>
    <row r="52" spans="1:12" x14ac:dyDescent="0.25">
      <c r="A52" s="481" t="s">
        <v>9</v>
      </c>
      <c r="B52" s="481"/>
      <c r="C52" s="284" t="s">
        <v>59</v>
      </c>
      <c r="D52" s="286"/>
      <c r="E52" s="497"/>
      <c r="F52" s="497"/>
      <c r="G52" s="497"/>
      <c r="H52" s="450">
        <f>E12/30/12*15*8%</f>
        <v>3.790766666666666</v>
      </c>
      <c r="I52" s="450"/>
      <c r="J52" s="450"/>
      <c r="K52" s="145"/>
      <c r="L52" s="145"/>
    </row>
    <row r="53" spans="1:12" x14ac:dyDescent="0.25">
      <c r="A53" s="481" t="s">
        <v>10</v>
      </c>
      <c r="B53" s="481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45"/>
      <c r="L53" s="145"/>
    </row>
    <row r="54" spans="1:12" x14ac:dyDescent="0.25">
      <c r="A54" s="481" t="s">
        <v>11</v>
      </c>
      <c r="B54" s="481"/>
      <c r="C54" s="478" t="s">
        <v>61</v>
      </c>
      <c r="D54" s="479"/>
      <c r="E54" s="497"/>
      <c r="F54" s="497"/>
      <c r="G54" s="497"/>
      <c r="H54" s="450">
        <f>E12/30/12*5*40%</f>
        <v>6.3179444444444437</v>
      </c>
      <c r="I54" s="450"/>
      <c r="J54" s="450"/>
      <c r="K54" s="145"/>
      <c r="L54" s="145"/>
    </row>
    <row r="55" spans="1:12" ht="30.75" customHeight="1" x14ac:dyDescent="0.25">
      <c r="A55" s="481" t="s">
        <v>39</v>
      </c>
      <c r="B55" s="481"/>
      <c r="C55" s="478" t="s">
        <v>62</v>
      </c>
      <c r="D55" s="479"/>
      <c r="E55" s="497"/>
      <c r="F55" s="497"/>
      <c r="G55" s="497"/>
      <c r="H55" s="450">
        <f>SUM(H49:J54)*39.8%</f>
        <v>5.3765191491666648</v>
      </c>
      <c r="I55" s="450"/>
      <c r="J55" s="450"/>
      <c r="K55" s="145"/>
      <c r="L55" s="145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18.885361232499996</v>
      </c>
      <c r="I56" s="592"/>
      <c r="J56" s="592"/>
      <c r="K56" s="145"/>
      <c r="L56" s="145"/>
    </row>
    <row r="57" spans="1:12" ht="30" customHeight="1" thickBot="1" x14ac:dyDescent="0.3">
      <c r="A57" s="507" t="s">
        <v>417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1.5" customHeight="1" x14ac:dyDescent="0.25">
      <c r="A58" s="452" t="s">
        <v>2</v>
      </c>
      <c r="B58" s="453"/>
      <c r="C58" s="454" t="s">
        <v>64</v>
      </c>
      <c r="D58" s="455"/>
      <c r="E58" s="128"/>
      <c r="F58" s="129"/>
      <c r="G58" s="130"/>
      <c r="H58" s="456">
        <f>((((E12+(E12/3))*0.3333)/12)*2%)</f>
        <v>0.84230835333333332</v>
      </c>
      <c r="I58" s="457"/>
      <c r="J58" s="453"/>
      <c r="K58" s="145"/>
      <c r="L58" s="145"/>
    </row>
    <row r="59" spans="1:12" ht="42.75" customHeight="1" x14ac:dyDescent="0.25">
      <c r="A59" s="452" t="s">
        <v>7</v>
      </c>
      <c r="B59" s="453"/>
      <c r="C59" s="454" t="s">
        <v>65</v>
      </c>
      <c r="D59" s="455"/>
      <c r="E59" s="128"/>
      <c r="F59" s="129"/>
      <c r="G59" s="130"/>
      <c r="H59" s="456">
        <f>H58*39.8%</f>
        <v>0.33523872462666665</v>
      </c>
      <c r="I59" s="457"/>
      <c r="J59" s="453"/>
      <c r="K59" s="145"/>
      <c r="L59" s="145"/>
    </row>
    <row r="60" spans="1:12" ht="45.7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3.2655350700061194</v>
      </c>
      <c r="I60" s="450"/>
      <c r="J60" s="450"/>
      <c r="K60" s="145"/>
      <c r="L60" s="145"/>
    </row>
    <row r="61" spans="1:12" x14ac:dyDescent="0.25">
      <c r="A61" s="481" t="s">
        <v>9</v>
      </c>
      <c r="B61" s="481"/>
      <c r="C61" s="482" t="s">
        <v>67</v>
      </c>
      <c r="D61" s="483"/>
      <c r="E61" s="497"/>
      <c r="F61" s="497"/>
      <c r="G61" s="497"/>
      <c r="H61" s="450"/>
      <c r="I61" s="450"/>
      <c r="J61" s="450"/>
      <c r="K61" s="145"/>
      <c r="L61" s="145"/>
    </row>
    <row r="62" spans="1:12" ht="14.25" customHeight="1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4.4430821479661198</v>
      </c>
      <c r="I62" s="592"/>
      <c r="J62" s="592"/>
      <c r="K62" s="145"/>
      <c r="L62" s="145"/>
    </row>
    <row r="63" spans="1:12" ht="30" customHeight="1" thickBot="1" x14ac:dyDescent="0.3">
      <c r="A63" s="507" t="s">
        <v>419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0" customHeight="1" x14ac:dyDescent="0.25">
      <c r="A64" s="452" t="s">
        <v>2</v>
      </c>
      <c r="B64" s="453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45"/>
      <c r="L64" s="145"/>
    </row>
    <row r="65" spans="1:12" ht="27.75" customHeight="1" x14ac:dyDescent="0.25">
      <c r="A65" s="452" t="s">
        <v>7</v>
      </c>
      <c r="B65" s="453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45"/>
      <c r="L65" s="145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45"/>
      <c r="L66" s="145"/>
    </row>
    <row r="67" spans="1:12" ht="15.75" thickBot="1" x14ac:dyDescent="0.3">
      <c r="A67" s="458" t="s">
        <v>71</v>
      </c>
      <c r="B67" s="459"/>
      <c r="C67" s="459"/>
      <c r="D67" s="725"/>
      <c r="E67" s="587">
        <f>H66+H62+H56</f>
        <v>23.328568670158116</v>
      </c>
      <c r="F67" s="498"/>
      <c r="G67" s="498"/>
      <c r="H67" s="498"/>
      <c r="I67" s="498"/>
      <c r="J67" s="499"/>
      <c r="K67" s="145"/>
      <c r="L67" s="145"/>
    </row>
    <row r="68" spans="1:12" ht="9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45"/>
      <c r="L68" s="145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2" t="s">
        <v>2</v>
      </c>
      <c r="B70" s="453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45"/>
      <c r="L70" s="145"/>
    </row>
    <row r="71" spans="1:12" x14ac:dyDescent="0.25">
      <c r="A71" s="452" t="s">
        <v>7</v>
      </c>
      <c r="B71" s="453"/>
      <c r="C71" s="452" t="s">
        <v>75</v>
      </c>
      <c r="D71" s="453"/>
      <c r="E71" s="128"/>
      <c r="F71" s="129"/>
      <c r="G71" s="130"/>
      <c r="H71" s="456"/>
      <c r="I71" s="457"/>
      <c r="J71" s="453"/>
      <c r="K71" s="145"/>
      <c r="L71" s="145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15</v>
      </c>
      <c r="I72" s="450"/>
      <c r="J72" s="450"/>
      <c r="K72" s="145"/>
      <c r="L72" s="145"/>
    </row>
    <row r="73" spans="1:12" ht="15.75" thickBot="1" x14ac:dyDescent="0.3">
      <c r="A73" s="477" t="s">
        <v>9</v>
      </c>
      <c r="B73" s="477"/>
      <c r="C73" s="473" t="s">
        <v>28</v>
      </c>
      <c r="D73" s="474"/>
      <c r="E73" s="842"/>
      <c r="F73" s="842"/>
      <c r="G73" s="842"/>
      <c r="H73" s="449">
        <v>4.5</v>
      </c>
      <c r="I73" s="449"/>
      <c r="J73" s="449"/>
      <c r="K73" s="145"/>
      <c r="L73" s="145"/>
    </row>
    <row r="74" spans="1:12" ht="15.75" thickBot="1" x14ac:dyDescent="0.3">
      <c r="A74" s="570" t="s">
        <v>336</v>
      </c>
      <c r="B74" s="571"/>
      <c r="C74" s="571"/>
      <c r="D74" s="571"/>
      <c r="E74" s="571"/>
      <c r="F74" s="571"/>
      <c r="G74" s="571"/>
      <c r="H74" s="547">
        <f>SUM(H70:J73)</f>
        <v>219.5</v>
      </c>
      <c r="I74" s="485"/>
      <c r="J74" s="486"/>
      <c r="K74" s="145"/>
      <c r="L74" s="145"/>
    </row>
    <row r="75" spans="1:12" ht="8.25" customHeight="1" thickBot="1" x14ac:dyDescent="0.3">
      <c r="E75" s="131"/>
      <c r="F75" s="131"/>
      <c r="G75" s="131"/>
      <c r="H75" s="161"/>
      <c r="I75" s="161"/>
      <c r="J75" s="161"/>
      <c r="K75" s="145"/>
      <c r="L75" s="145"/>
    </row>
    <row r="76" spans="1:12" ht="26.25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2" t="s">
        <v>2</v>
      </c>
      <c r="B77" s="453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206.76872409121773</v>
      </c>
      <c r="I77" s="457"/>
      <c r="J77" s="453"/>
      <c r="K77" s="145"/>
      <c r="L77" s="145"/>
    </row>
    <row r="78" spans="1:12" x14ac:dyDescent="0.25">
      <c r="A78" s="452" t="s">
        <v>7</v>
      </c>
      <c r="B78" s="453"/>
      <c r="C78" s="452" t="s">
        <v>12</v>
      </c>
      <c r="D78" s="453"/>
      <c r="E78" s="843">
        <v>9.9999049397341402E-2</v>
      </c>
      <c r="F78" s="840"/>
      <c r="G78" s="841"/>
      <c r="H78" s="456">
        <f>E78*(H74+E67+H46+E37+E12)</f>
        <v>295.38108363175621</v>
      </c>
      <c r="I78" s="457"/>
      <c r="J78" s="453"/>
      <c r="K78" s="145"/>
      <c r="L78" s="145"/>
    </row>
    <row r="79" spans="1:12" x14ac:dyDescent="0.25">
      <c r="A79" s="318" t="s">
        <v>8</v>
      </c>
      <c r="B79" s="319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3444.7101056429437</v>
      </c>
      <c r="I79" s="450"/>
      <c r="J79" s="450"/>
      <c r="K79" s="145"/>
      <c r="L79" s="145"/>
    </row>
    <row r="80" spans="1:12" x14ac:dyDescent="0.25">
      <c r="A80" s="481" t="s">
        <v>9</v>
      </c>
      <c r="B80" s="481"/>
      <c r="C80" s="482" t="s">
        <v>79</v>
      </c>
      <c r="D80" s="483"/>
      <c r="E80" s="497">
        <v>1.6500000000000001E-2</v>
      </c>
      <c r="F80" s="497"/>
      <c r="G80" s="497"/>
      <c r="H80" s="450">
        <f>E80*D88</f>
        <v>60.446760000000005</v>
      </c>
      <c r="I80" s="450"/>
      <c r="J80" s="450"/>
      <c r="K80" s="145"/>
      <c r="L80" s="145"/>
    </row>
    <row r="81" spans="1:12" x14ac:dyDescent="0.25">
      <c r="A81" s="481" t="s">
        <v>9</v>
      </c>
      <c r="B81" s="481"/>
      <c r="C81" s="482" t="s">
        <v>80</v>
      </c>
      <c r="D81" s="483"/>
      <c r="E81" s="497">
        <v>7.5999999999999998E-2</v>
      </c>
      <c r="F81" s="497"/>
      <c r="G81" s="497"/>
      <c r="H81" s="450">
        <f>E81*D88</f>
        <v>278.42144000000002</v>
      </c>
      <c r="I81" s="450"/>
      <c r="J81" s="450"/>
      <c r="K81" s="145"/>
      <c r="L81" s="145"/>
    </row>
    <row r="82" spans="1:12" x14ac:dyDescent="0.25">
      <c r="A82" s="481" t="s">
        <v>10</v>
      </c>
      <c r="B82" s="481"/>
      <c r="C82" s="482" t="s">
        <v>81</v>
      </c>
      <c r="D82" s="483"/>
      <c r="E82" s="497"/>
      <c r="F82" s="497"/>
      <c r="G82" s="497"/>
      <c r="H82" s="450"/>
      <c r="I82" s="450"/>
      <c r="J82" s="450"/>
      <c r="K82" s="145"/>
      <c r="L82" s="145"/>
    </row>
    <row r="83" spans="1:12" ht="15.75" thickBot="1" x14ac:dyDescent="0.3">
      <c r="A83" s="477" t="s">
        <v>11</v>
      </c>
      <c r="B83" s="477"/>
      <c r="C83" s="473" t="s">
        <v>82</v>
      </c>
      <c r="D83" s="474"/>
      <c r="E83" s="842">
        <v>0.05</v>
      </c>
      <c r="F83" s="842"/>
      <c r="G83" s="842"/>
      <c r="H83" s="449">
        <f>E83*D88</f>
        <v>183.17200000000003</v>
      </c>
      <c r="I83" s="449"/>
      <c r="J83" s="449"/>
      <c r="K83" s="145"/>
      <c r="L83" s="145"/>
    </row>
    <row r="84" spans="1:12" ht="15.75" thickBot="1" x14ac:dyDescent="0.3">
      <c r="A84" s="570" t="s">
        <v>340</v>
      </c>
      <c r="B84" s="571"/>
      <c r="C84" s="571"/>
      <c r="D84" s="571"/>
      <c r="E84" s="571"/>
      <c r="F84" s="571"/>
      <c r="G84" s="571"/>
      <c r="H84" s="547">
        <f>H77+H78+H80+H81+H83</f>
        <v>1024.1900077229741</v>
      </c>
      <c r="I84" s="485"/>
      <c r="J84" s="486"/>
      <c r="K84" s="145"/>
      <c r="L84" s="145"/>
    </row>
    <row r="85" spans="1:12" ht="10.5" customHeight="1" thickBot="1" x14ac:dyDescent="0.3">
      <c r="E85" s="131"/>
      <c r="F85" s="131"/>
      <c r="G85" s="131"/>
      <c r="H85" s="161"/>
      <c r="I85" s="161"/>
      <c r="J85" s="161"/>
      <c r="K85" s="145"/>
      <c r="L85" s="145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844">
        <f>SUM(H84+H74+E67+H46+E37+E12)</f>
        <v>3978.0289233117987</v>
      </c>
      <c r="I86" s="723"/>
      <c r="J86" s="724"/>
      <c r="K86" s="145"/>
      <c r="L86" s="145"/>
    </row>
    <row r="87" spans="1:12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  <c r="K87" s="145"/>
      <c r="L87" s="145"/>
    </row>
    <row r="88" spans="1:12" x14ac:dyDescent="0.25">
      <c r="A88" s="145"/>
      <c r="B88" s="145"/>
      <c r="C88" s="145"/>
      <c r="D88" s="163">
        <v>3663.44</v>
      </c>
      <c r="E88" s="133"/>
      <c r="F88" s="133"/>
      <c r="G88" s="133"/>
      <c r="H88" s="145"/>
      <c r="I88" s="145"/>
      <c r="J88" s="145"/>
      <c r="K88" s="145"/>
      <c r="L88" s="145"/>
    </row>
    <row r="89" spans="1:12" x14ac:dyDescent="0.25">
      <c r="A89" s="145"/>
      <c r="B89" s="145"/>
      <c r="C89" s="145"/>
      <c r="D89" s="145"/>
      <c r="E89" s="133"/>
      <c r="F89" s="133"/>
      <c r="G89" s="133"/>
      <c r="H89" s="145"/>
      <c r="I89" s="145"/>
      <c r="J89" s="145"/>
      <c r="K89" s="145"/>
      <c r="L89" s="145"/>
    </row>
    <row r="90" spans="1:12" x14ac:dyDescent="0.25">
      <c r="A90" s="145"/>
      <c r="B90" s="145"/>
      <c r="C90" s="145"/>
      <c r="D90" s="145"/>
      <c r="E90" s="133"/>
      <c r="F90" s="133"/>
      <c r="G90" s="133"/>
      <c r="H90" s="145"/>
      <c r="I90" s="145"/>
      <c r="J90" s="145"/>
      <c r="K90" s="145"/>
      <c r="L90" s="145"/>
    </row>
    <row r="91" spans="1:12" x14ac:dyDescent="0.25">
      <c r="A91" s="145"/>
      <c r="B91" s="145"/>
      <c r="C91" s="145"/>
      <c r="D91" s="145"/>
      <c r="E91" s="133"/>
      <c r="F91" s="133"/>
      <c r="G91" s="133"/>
      <c r="H91" s="145"/>
      <c r="I91" s="145"/>
      <c r="J91" s="145"/>
      <c r="K91" s="145"/>
      <c r="L91" s="145"/>
    </row>
    <row r="92" spans="1:12" ht="15.75" thickBot="1" x14ac:dyDescent="0.3">
      <c r="A92" s="145"/>
      <c r="B92" s="145"/>
      <c r="C92" s="145"/>
      <c r="D92" s="145"/>
      <c r="E92" s="133"/>
      <c r="F92" s="133"/>
      <c r="G92" s="133"/>
      <c r="H92" s="145"/>
      <c r="I92" s="145"/>
      <c r="J92" s="145"/>
      <c r="K92" s="145"/>
      <c r="L92" s="145"/>
    </row>
  </sheetData>
  <mergeCells count="230">
    <mergeCell ref="A1:J1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39997558519241921"/>
  </sheetPr>
  <dimension ref="A1:L92"/>
  <sheetViews>
    <sheetView topLeftCell="A67" workbookViewId="0">
      <selection activeCell="D85" sqref="D85"/>
    </sheetView>
  </sheetViews>
  <sheetFormatPr defaultRowHeight="15" x14ac:dyDescent="0.25"/>
  <cols>
    <col min="1" max="1" width="6.7109375" style="134" customWidth="1"/>
    <col min="2" max="2" width="3.42578125" style="134" customWidth="1"/>
    <col min="3" max="3" width="10.42578125" style="134" customWidth="1"/>
    <col min="4" max="4" width="41.7109375" style="134" customWidth="1"/>
    <col min="5" max="7" width="3.140625" style="116" customWidth="1"/>
    <col min="8" max="8" width="3" style="134" customWidth="1"/>
    <col min="9" max="9" width="5.7109375" style="134" hidden="1" customWidth="1"/>
    <col min="10" max="10" width="9.2851562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364</v>
      </c>
      <c r="E2" s="738"/>
      <c r="F2" s="738"/>
      <c r="G2" s="738"/>
      <c r="H2" s="738"/>
      <c r="I2" s="738"/>
      <c r="J2" s="739"/>
      <c r="K2" s="136"/>
    </row>
    <row r="3" spans="1:12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45"/>
      <c r="L5" s="145"/>
    </row>
    <row r="6" spans="1:12" x14ac:dyDescent="0.25">
      <c r="A6" s="123" t="s">
        <v>2</v>
      </c>
      <c r="B6" s="606" t="s">
        <v>1</v>
      </c>
      <c r="C6" s="607"/>
      <c r="D6" s="608"/>
      <c r="E6" s="848">
        <v>1691</v>
      </c>
      <c r="F6" s="848"/>
      <c r="G6" s="848"/>
      <c r="H6" s="848"/>
      <c r="I6" s="848"/>
      <c r="J6" s="848"/>
      <c r="K6" s="145"/>
      <c r="L6" s="145"/>
    </row>
    <row r="7" spans="1:12" x14ac:dyDescent="0.25">
      <c r="A7" s="123" t="s">
        <v>7</v>
      </c>
      <c r="B7" s="606" t="s">
        <v>25</v>
      </c>
      <c r="C7" s="607"/>
      <c r="D7" s="608"/>
      <c r="E7" s="850"/>
      <c r="F7" s="851"/>
      <c r="G7" s="851"/>
      <c r="H7" s="851"/>
      <c r="I7" s="851"/>
      <c r="J7" s="852"/>
      <c r="K7" s="145"/>
      <c r="L7" s="145"/>
    </row>
    <row r="8" spans="1:12" x14ac:dyDescent="0.25">
      <c r="A8" s="123" t="s">
        <v>8</v>
      </c>
      <c r="B8" s="606" t="s">
        <v>26</v>
      </c>
      <c r="C8" s="607"/>
      <c r="D8" s="608"/>
      <c r="E8" s="850"/>
      <c r="F8" s="851"/>
      <c r="G8" s="851"/>
      <c r="H8" s="851"/>
      <c r="I8" s="851"/>
      <c r="J8" s="852"/>
      <c r="K8" s="145"/>
      <c r="L8" s="145"/>
    </row>
    <row r="9" spans="1:12" x14ac:dyDescent="0.25">
      <c r="A9" s="123" t="s">
        <v>9</v>
      </c>
      <c r="B9" s="606" t="s">
        <v>27</v>
      </c>
      <c r="C9" s="607"/>
      <c r="D9" s="608"/>
      <c r="E9" s="850"/>
      <c r="F9" s="851"/>
      <c r="G9" s="851"/>
      <c r="H9" s="851"/>
      <c r="I9" s="851"/>
      <c r="J9" s="852"/>
      <c r="K9" s="145"/>
      <c r="L9" s="145"/>
    </row>
    <row r="10" spans="1:12" x14ac:dyDescent="0.25">
      <c r="A10" s="123" t="s">
        <v>10</v>
      </c>
      <c r="B10" s="606" t="s">
        <v>28</v>
      </c>
      <c r="C10" s="607"/>
      <c r="D10" s="608"/>
      <c r="E10" s="848"/>
      <c r="F10" s="848"/>
      <c r="G10" s="848"/>
      <c r="H10" s="848"/>
      <c r="I10" s="848"/>
      <c r="J10" s="848"/>
      <c r="K10" s="145"/>
      <c r="L10" s="145"/>
    </row>
    <row r="11" spans="1:12" ht="15.75" thickBot="1" x14ac:dyDescent="0.3">
      <c r="A11" s="125" t="s">
        <v>11</v>
      </c>
      <c r="B11" s="609" t="s">
        <v>161</v>
      </c>
      <c r="C11" s="610"/>
      <c r="D11" s="611"/>
      <c r="E11" s="849">
        <f>E6*40%</f>
        <v>676.40000000000009</v>
      </c>
      <c r="F11" s="849"/>
      <c r="G11" s="849"/>
      <c r="H11" s="849"/>
      <c r="I11" s="849"/>
      <c r="J11" s="849"/>
      <c r="K11" s="145"/>
      <c r="L11" s="145"/>
    </row>
    <row r="12" spans="1:12" ht="15.75" thickBot="1" x14ac:dyDescent="0.3">
      <c r="A12" s="458" t="s">
        <v>330</v>
      </c>
      <c r="B12" s="459"/>
      <c r="C12" s="459"/>
      <c r="D12" s="725"/>
      <c r="E12" s="547">
        <f>SUM(E6:J11)</f>
        <v>2367.4</v>
      </c>
      <c r="F12" s="485"/>
      <c r="G12" s="485"/>
      <c r="H12" s="485"/>
      <c r="I12" s="485"/>
      <c r="J12" s="486"/>
      <c r="K12" s="145"/>
      <c r="L12" s="145"/>
    </row>
    <row r="13" spans="1:12" ht="29.25" customHeight="1" x14ac:dyDescent="0.25">
      <c r="A13" s="551" t="s">
        <v>29</v>
      </c>
      <c r="B13" s="715"/>
      <c r="C13" s="715"/>
      <c r="D13" s="716"/>
      <c r="E13" s="548">
        <f>E12*E30</f>
        <v>871.20320000000015</v>
      </c>
      <c r="F13" s="549"/>
      <c r="G13" s="549"/>
      <c r="H13" s="549"/>
      <c r="I13" s="549"/>
      <c r="J13" s="550"/>
      <c r="K13" s="145"/>
      <c r="L13" s="145"/>
    </row>
    <row r="14" spans="1:12" ht="10.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45"/>
      <c r="L14" s="145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365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3" t="s">
        <v>2</v>
      </c>
      <c r="B17" s="482" t="s">
        <v>34</v>
      </c>
      <c r="C17" s="521"/>
      <c r="D17" s="483"/>
      <c r="E17" s="322">
        <v>8.3299999999999999E-2</v>
      </c>
      <c r="F17" s="323"/>
      <c r="G17" s="324"/>
      <c r="H17" s="450">
        <f>E17*E12</f>
        <v>197.20442</v>
      </c>
      <c r="I17" s="450"/>
      <c r="J17" s="450"/>
      <c r="K17" s="145"/>
      <c r="L17" s="145"/>
    </row>
    <row r="18" spans="1:12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286.4554</v>
      </c>
      <c r="I18" s="450"/>
      <c r="J18" s="450"/>
      <c r="K18" s="145"/>
      <c r="L18" s="145"/>
    </row>
    <row r="19" spans="1:12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483.65981999999997</v>
      </c>
      <c r="I19" s="525"/>
      <c r="J19" s="525"/>
      <c r="K19" s="145"/>
      <c r="L19" s="145"/>
    </row>
    <row r="20" spans="1:12" ht="33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185.13068000000001</v>
      </c>
      <c r="I20" s="291"/>
      <c r="J20" s="292"/>
      <c r="K20" s="145"/>
      <c r="L20" s="145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570.21196399999997</v>
      </c>
      <c r="I22" s="450"/>
      <c r="J22" s="450"/>
      <c r="K22" s="145"/>
      <c r="L22" s="145"/>
    </row>
    <row r="23" spans="1:12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71.276495499999996</v>
      </c>
      <c r="I23" s="450"/>
      <c r="J23" s="450"/>
      <c r="K23" s="145"/>
      <c r="L23" s="145"/>
    </row>
    <row r="24" spans="1:12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85.531794599999998</v>
      </c>
      <c r="I24" s="450"/>
      <c r="J24" s="450"/>
      <c r="K24" s="145"/>
      <c r="L24" s="145"/>
    </row>
    <row r="25" spans="1:12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42.765897299999999</v>
      </c>
      <c r="I25" s="450"/>
      <c r="J25" s="450"/>
      <c r="K25" s="145"/>
      <c r="L25" s="145"/>
    </row>
    <row r="26" spans="1:12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28.5105982</v>
      </c>
      <c r="I26" s="450"/>
      <c r="J26" s="450"/>
      <c r="K26" s="145"/>
      <c r="L26" s="145"/>
    </row>
    <row r="27" spans="1:12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17.106358920000002</v>
      </c>
      <c r="I27" s="450"/>
      <c r="J27" s="450"/>
      <c r="K27" s="145"/>
      <c r="L27" s="145"/>
    </row>
    <row r="28" spans="1:12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5.7021196400000003</v>
      </c>
      <c r="I28" s="450"/>
      <c r="J28" s="450"/>
      <c r="K28" s="145"/>
      <c r="L28" s="145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228.0847856</v>
      </c>
      <c r="I29" s="450"/>
      <c r="J29" s="450"/>
      <c r="K29" s="145"/>
      <c r="L29" s="145"/>
    </row>
    <row r="30" spans="1:12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1049.1900137600001</v>
      </c>
      <c r="I30" s="592"/>
      <c r="J30" s="592"/>
      <c r="K30" s="145"/>
      <c r="L30" s="145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v>0</v>
      </c>
      <c r="I32" s="450"/>
      <c r="J32" s="450"/>
      <c r="K32" s="145"/>
      <c r="L32" s="145"/>
    </row>
    <row r="33" spans="1:12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0</f>
        <v>0</v>
      </c>
      <c r="I33" s="450"/>
      <c r="J33" s="450"/>
      <c r="K33" s="145"/>
      <c r="L33" s="145"/>
    </row>
    <row r="34" spans="1:12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0</v>
      </c>
      <c r="I34" s="450"/>
      <c r="J34" s="450"/>
      <c r="K34" s="145"/>
      <c r="L34" s="145"/>
    </row>
    <row r="35" spans="1:12" x14ac:dyDescent="0.25">
      <c r="A35" s="482" t="s">
        <v>9</v>
      </c>
      <c r="B35" s="483"/>
      <c r="C35" s="478" t="s">
        <v>28</v>
      </c>
      <c r="D35" s="479"/>
      <c r="E35" s="497"/>
      <c r="F35" s="497"/>
      <c r="G35" s="497"/>
      <c r="H35" s="450">
        <v>25.95</v>
      </c>
      <c r="I35" s="450"/>
      <c r="J35" s="450"/>
      <c r="K35" s="145"/>
      <c r="L35" s="145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25.95</v>
      </c>
      <c r="I36" s="451"/>
      <c r="J36" s="451"/>
      <c r="K36" s="145"/>
      <c r="L36" s="145"/>
    </row>
    <row r="37" spans="1:12" ht="15.75" thickBot="1" x14ac:dyDescent="0.3">
      <c r="A37" s="458" t="s">
        <v>72</v>
      </c>
      <c r="B37" s="459"/>
      <c r="C37" s="459"/>
      <c r="D37" s="460"/>
      <c r="E37" s="587">
        <f>H19+H30+H36</f>
        <v>1558.79983376</v>
      </c>
      <c r="F37" s="498"/>
      <c r="G37" s="498"/>
      <c r="H37" s="498"/>
      <c r="I37" s="498"/>
      <c r="J37" s="499"/>
      <c r="K37" s="145"/>
      <c r="L37" s="145"/>
    </row>
    <row r="38" spans="1:12" ht="10.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45"/>
      <c r="L38" s="145"/>
    </row>
    <row r="39" spans="1:12" ht="27" customHeight="1" thickBot="1" x14ac:dyDescent="0.3">
      <c r="A39" s="494" t="s">
        <v>131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2" t="s">
        <v>2</v>
      </c>
      <c r="B40" s="453"/>
      <c r="C40" s="452" t="s">
        <v>51</v>
      </c>
      <c r="D40" s="453"/>
      <c r="E40" s="128"/>
      <c r="F40" s="129"/>
      <c r="G40" s="130"/>
      <c r="H40" s="456">
        <f>E12/12*5%</f>
        <v>9.8641666666666676</v>
      </c>
      <c r="I40" s="457"/>
      <c r="J40" s="453"/>
      <c r="K40" s="145"/>
      <c r="L40" s="145"/>
    </row>
    <row r="41" spans="1:12" x14ac:dyDescent="0.25">
      <c r="A41" s="452" t="s">
        <v>7</v>
      </c>
      <c r="B41" s="453"/>
      <c r="C41" s="452" t="s">
        <v>52</v>
      </c>
      <c r="D41" s="453"/>
      <c r="E41" s="128"/>
      <c r="F41" s="129"/>
      <c r="G41" s="130"/>
      <c r="H41" s="456">
        <f>H40*8%</f>
        <v>0.78913333333333346</v>
      </c>
      <c r="I41" s="457"/>
      <c r="J41" s="453"/>
      <c r="K41" s="145"/>
      <c r="L41" s="145"/>
    </row>
    <row r="42" spans="1:12" ht="33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45"/>
      <c r="L42" s="145"/>
    </row>
    <row r="43" spans="1:12" x14ac:dyDescent="0.25">
      <c r="A43" s="481" t="s">
        <v>9</v>
      </c>
      <c r="B43" s="481"/>
      <c r="C43" s="482" t="s">
        <v>54</v>
      </c>
      <c r="D43" s="483"/>
      <c r="E43" s="497"/>
      <c r="F43" s="497"/>
      <c r="G43" s="497"/>
      <c r="H43" s="450">
        <f>E12/30/12*7*100%</f>
        <v>46.032777777777781</v>
      </c>
      <c r="I43" s="450"/>
      <c r="J43" s="450"/>
      <c r="K43" s="145"/>
      <c r="L43" s="145"/>
    </row>
    <row r="44" spans="1:12" ht="30" customHeight="1" x14ac:dyDescent="0.25">
      <c r="A44" s="481" t="s">
        <v>10</v>
      </c>
      <c r="B44" s="481"/>
      <c r="C44" s="478" t="s">
        <v>83</v>
      </c>
      <c r="D44" s="479"/>
      <c r="E44" s="497"/>
      <c r="F44" s="497"/>
      <c r="G44" s="497"/>
      <c r="H44" s="450">
        <f>H43*39.8%</f>
        <v>18.321045555555557</v>
      </c>
      <c r="I44" s="450"/>
      <c r="J44" s="450"/>
      <c r="K44" s="145"/>
      <c r="L44" s="145"/>
    </row>
    <row r="45" spans="1:12" ht="31.5" customHeight="1" thickBot="1" x14ac:dyDescent="0.3">
      <c r="A45" s="473" t="s">
        <v>11</v>
      </c>
      <c r="B45" s="474"/>
      <c r="C45" s="834" t="s">
        <v>53</v>
      </c>
      <c r="D45" s="835"/>
      <c r="E45" s="836"/>
      <c r="F45" s="837"/>
      <c r="G45" s="838"/>
      <c r="H45" s="470">
        <f>E12*5%</f>
        <v>118.37</v>
      </c>
      <c r="I45" s="471"/>
      <c r="J45" s="472"/>
      <c r="K45" s="145"/>
      <c r="L45" s="145"/>
    </row>
    <row r="46" spans="1:12" ht="15.75" thickBot="1" x14ac:dyDescent="0.3">
      <c r="A46" s="570" t="s">
        <v>333</v>
      </c>
      <c r="B46" s="571"/>
      <c r="C46" s="571"/>
      <c r="D46" s="571"/>
      <c r="E46" s="571"/>
      <c r="F46" s="571"/>
      <c r="G46" s="571"/>
      <c r="H46" s="547">
        <f>SUM(H40:J45)</f>
        <v>193.37712333333334</v>
      </c>
      <c r="I46" s="485"/>
      <c r="J46" s="486"/>
      <c r="K46" s="145"/>
      <c r="L46" s="145"/>
    </row>
    <row r="47" spans="1:12" ht="9" customHeight="1" thickBot="1" x14ac:dyDescent="0.3">
      <c r="E47" s="131"/>
      <c r="F47" s="131"/>
      <c r="G47" s="131"/>
      <c r="H47" s="161"/>
      <c r="I47" s="161"/>
      <c r="J47" s="161"/>
      <c r="K47" s="145"/>
      <c r="L47" s="145"/>
    </row>
    <row r="48" spans="1:12" ht="33" customHeight="1" thickBot="1" x14ac:dyDescent="0.3">
      <c r="A48" s="494" t="s">
        <v>317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2" t="s">
        <v>2</v>
      </c>
      <c r="B49" s="453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45"/>
      <c r="L49" s="145"/>
    </row>
    <row r="50" spans="1:12" x14ac:dyDescent="0.25">
      <c r="A50" s="452" t="s">
        <v>7</v>
      </c>
      <c r="B50" s="453"/>
      <c r="C50" s="452" t="s">
        <v>57</v>
      </c>
      <c r="D50" s="453"/>
      <c r="E50" s="128"/>
      <c r="F50" s="129"/>
      <c r="G50" s="130"/>
      <c r="H50" s="456">
        <f>E12/30/12</f>
        <v>6.5761111111111115</v>
      </c>
      <c r="I50" s="457"/>
      <c r="J50" s="453"/>
      <c r="K50" s="145"/>
      <c r="L50" s="145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0.49320833333333336</v>
      </c>
      <c r="I51" s="450"/>
      <c r="J51" s="450"/>
      <c r="K51" s="145"/>
      <c r="L51" s="145"/>
    </row>
    <row r="52" spans="1:12" x14ac:dyDescent="0.25">
      <c r="A52" s="481" t="s">
        <v>9</v>
      </c>
      <c r="B52" s="481"/>
      <c r="C52" s="284" t="s">
        <v>59</v>
      </c>
      <c r="D52" s="286"/>
      <c r="E52" s="497"/>
      <c r="F52" s="497"/>
      <c r="G52" s="497"/>
      <c r="H52" s="450">
        <f>E12/30/12*15*8%</f>
        <v>7.8913333333333338</v>
      </c>
      <c r="I52" s="450"/>
      <c r="J52" s="450"/>
      <c r="K52" s="145"/>
      <c r="L52" s="145"/>
    </row>
    <row r="53" spans="1:12" x14ac:dyDescent="0.25">
      <c r="A53" s="481" t="s">
        <v>10</v>
      </c>
      <c r="B53" s="481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45"/>
      <c r="L53" s="145"/>
    </row>
    <row r="54" spans="1:12" x14ac:dyDescent="0.25">
      <c r="A54" s="481" t="s">
        <v>11</v>
      </c>
      <c r="B54" s="481"/>
      <c r="C54" s="478" t="s">
        <v>61</v>
      </c>
      <c r="D54" s="479"/>
      <c r="E54" s="497"/>
      <c r="F54" s="497"/>
      <c r="G54" s="497"/>
      <c r="H54" s="450">
        <f>E12/30/12*5*40%</f>
        <v>13.152222222222225</v>
      </c>
      <c r="I54" s="450"/>
      <c r="J54" s="450"/>
      <c r="K54" s="145"/>
      <c r="L54" s="145"/>
    </row>
    <row r="55" spans="1:12" ht="24.75" customHeight="1" x14ac:dyDescent="0.25">
      <c r="A55" s="481" t="s">
        <v>39</v>
      </c>
      <c r="B55" s="481"/>
      <c r="C55" s="478" t="s">
        <v>62</v>
      </c>
      <c r="D55" s="479"/>
      <c r="E55" s="497"/>
      <c r="F55" s="497"/>
      <c r="G55" s="497"/>
      <c r="H55" s="450">
        <f>SUM(H49:J54)*39.8%</f>
        <v>11.190610111666667</v>
      </c>
      <c r="I55" s="450"/>
      <c r="J55" s="450"/>
      <c r="K55" s="145"/>
      <c r="L55" s="145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39.307720945</v>
      </c>
      <c r="I56" s="592"/>
      <c r="J56" s="592"/>
      <c r="K56" s="145"/>
      <c r="L56" s="145"/>
    </row>
    <row r="57" spans="1:12" ht="30" customHeight="1" thickBot="1" x14ac:dyDescent="0.3">
      <c r="A57" s="507" t="s">
        <v>420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27.75" customHeight="1" x14ac:dyDescent="0.25">
      <c r="A58" s="452" t="s">
        <v>2</v>
      </c>
      <c r="B58" s="453"/>
      <c r="C58" s="454" t="s">
        <v>64</v>
      </c>
      <c r="D58" s="455"/>
      <c r="E58" s="128"/>
      <c r="F58" s="129"/>
      <c r="G58" s="130"/>
      <c r="H58" s="456">
        <f>((((E12+(E12/3))*0.3333)/12)*2%)</f>
        <v>1.7534542666666664</v>
      </c>
      <c r="I58" s="457"/>
      <c r="J58" s="453"/>
      <c r="K58" s="145"/>
      <c r="L58" s="145"/>
    </row>
    <row r="59" spans="1:12" ht="44.25" customHeight="1" x14ac:dyDescent="0.25">
      <c r="A59" s="452" t="s">
        <v>7</v>
      </c>
      <c r="B59" s="453"/>
      <c r="C59" s="454" t="s">
        <v>65</v>
      </c>
      <c r="D59" s="455"/>
      <c r="E59" s="128"/>
      <c r="F59" s="129"/>
      <c r="G59" s="130"/>
      <c r="H59" s="456">
        <f>H58*39.8%</f>
        <v>0.6978747981333332</v>
      </c>
      <c r="I59" s="457"/>
      <c r="J59" s="453"/>
      <c r="K59" s="145"/>
      <c r="L59" s="145"/>
    </row>
    <row r="60" spans="1:12" ht="47.2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6.7979456440056003</v>
      </c>
      <c r="I60" s="450"/>
      <c r="J60" s="450"/>
      <c r="K60" s="145"/>
      <c r="L60" s="145"/>
    </row>
    <row r="61" spans="1:12" x14ac:dyDescent="0.25">
      <c r="A61" s="481" t="s">
        <v>9</v>
      </c>
      <c r="B61" s="481"/>
      <c r="C61" s="482" t="s">
        <v>67</v>
      </c>
      <c r="D61" s="483"/>
      <c r="E61" s="497"/>
      <c r="F61" s="497"/>
      <c r="G61" s="497"/>
      <c r="H61" s="450"/>
      <c r="I61" s="450"/>
      <c r="J61" s="450"/>
      <c r="K61" s="145"/>
      <c r="L61" s="145"/>
    </row>
    <row r="62" spans="1:12" ht="15.75" customHeight="1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9.2492747088056007</v>
      </c>
      <c r="I62" s="592"/>
      <c r="J62" s="592"/>
      <c r="K62" s="145"/>
      <c r="L62" s="145"/>
    </row>
    <row r="63" spans="1:12" ht="30" customHeight="1" thickBot="1" x14ac:dyDescent="0.3">
      <c r="A63" s="507" t="s">
        <v>421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0" customHeight="1" x14ac:dyDescent="0.25">
      <c r="A64" s="452" t="s">
        <v>2</v>
      </c>
      <c r="B64" s="453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45"/>
      <c r="L64" s="145"/>
    </row>
    <row r="65" spans="1:12" ht="31.5" customHeight="1" x14ac:dyDescent="0.25">
      <c r="A65" s="452" t="s">
        <v>7</v>
      </c>
      <c r="B65" s="453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45"/>
      <c r="L65" s="145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45"/>
      <c r="L66" s="145"/>
    </row>
    <row r="67" spans="1:12" ht="15.75" thickBot="1" x14ac:dyDescent="0.3">
      <c r="A67" s="458" t="s">
        <v>71</v>
      </c>
      <c r="B67" s="459"/>
      <c r="C67" s="459"/>
      <c r="D67" s="460"/>
      <c r="E67" s="587">
        <f>H66+H62+H56</f>
        <v>48.557120943497601</v>
      </c>
      <c r="F67" s="498"/>
      <c r="G67" s="498"/>
      <c r="H67" s="498"/>
      <c r="I67" s="498"/>
      <c r="J67" s="499"/>
      <c r="K67" s="145"/>
      <c r="L67" s="145"/>
    </row>
    <row r="68" spans="1:12" ht="10.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45"/>
      <c r="L68" s="145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2" t="s">
        <v>2</v>
      </c>
      <c r="B70" s="453"/>
      <c r="C70" s="452" t="s">
        <v>74</v>
      </c>
      <c r="D70" s="453"/>
      <c r="E70" s="839"/>
      <c r="F70" s="840"/>
      <c r="G70" s="841"/>
      <c r="H70" s="456">
        <v>45</v>
      </c>
      <c r="I70" s="457"/>
      <c r="J70" s="453"/>
      <c r="K70" s="145"/>
      <c r="L70" s="145"/>
    </row>
    <row r="71" spans="1:12" x14ac:dyDescent="0.25">
      <c r="A71" s="452" t="s">
        <v>7</v>
      </c>
      <c r="B71" s="453"/>
      <c r="C71" s="452" t="s">
        <v>75</v>
      </c>
      <c r="D71" s="453"/>
      <c r="E71" s="128"/>
      <c r="F71" s="129"/>
      <c r="G71" s="130"/>
      <c r="H71" s="456"/>
      <c r="I71" s="457"/>
      <c r="J71" s="453"/>
      <c r="K71" s="145"/>
      <c r="L71" s="145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150</v>
      </c>
      <c r="I72" s="450"/>
      <c r="J72" s="450"/>
      <c r="K72" s="145"/>
      <c r="L72" s="145"/>
    </row>
    <row r="73" spans="1:12" ht="15.75" thickBot="1" x14ac:dyDescent="0.3">
      <c r="A73" s="477" t="s">
        <v>9</v>
      </c>
      <c r="B73" s="477"/>
      <c r="C73" s="473" t="s">
        <v>28</v>
      </c>
      <c r="D73" s="474"/>
      <c r="E73" s="842"/>
      <c r="F73" s="842"/>
      <c r="G73" s="842"/>
      <c r="H73" s="449">
        <v>6.5</v>
      </c>
      <c r="I73" s="449"/>
      <c r="J73" s="449"/>
      <c r="K73" s="145"/>
      <c r="L73" s="145"/>
    </row>
    <row r="74" spans="1:12" ht="15.75" thickBot="1" x14ac:dyDescent="0.3">
      <c r="A74" s="570" t="s">
        <v>336</v>
      </c>
      <c r="B74" s="571"/>
      <c r="C74" s="571"/>
      <c r="D74" s="571"/>
      <c r="E74" s="571"/>
      <c r="F74" s="571"/>
      <c r="G74" s="571"/>
      <c r="H74" s="547">
        <f>SUM(H70:J73)</f>
        <v>201.5</v>
      </c>
      <c r="I74" s="485"/>
      <c r="J74" s="486"/>
      <c r="K74" s="145"/>
      <c r="L74" s="145"/>
    </row>
    <row r="75" spans="1:12" ht="9" customHeight="1" thickBot="1" x14ac:dyDescent="0.3">
      <c r="E75" s="131"/>
      <c r="F75" s="131"/>
      <c r="G75" s="131"/>
      <c r="H75" s="161"/>
      <c r="I75" s="161"/>
      <c r="J75" s="161"/>
      <c r="K75" s="145"/>
      <c r="L75" s="145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2" t="s">
        <v>2</v>
      </c>
      <c r="B77" s="453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305.87438546257818</v>
      </c>
      <c r="I77" s="457"/>
      <c r="J77" s="453"/>
      <c r="K77" s="145"/>
      <c r="L77" s="145"/>
    </row>
    <row r="78" spans="1:12" x14ac:dyDescent="0.25">
      <c r="A78" s="452" t="s">
        <v>7</v>
      </c>
      <c r="B78" s="453"/>
      <c r="C78" s="452" t="s">
        <v>12</v>
      </c>
      <c r="D78" s="453"/>
      <c r="E78" s="843">
        <v>9.9999049397341402E-2</v>
      </c>
      <c r="F78" s="840"/>
      <c r="G78" s="841"/>
      <c r="H78" s="456">
        <f>E78*(H74+E67+H46+E37+E12)</f>
        <v>436.95925401791141</v>
      </c>
      <c r="I78" s="457"/>
      <c r="J78" s="453"/>
      <c r="K78" s="145"/>
      <c r="L78" s="145"/>
    </row>
    <row r="79" spans="1:12" x14ac:dyDescent="0.25">
      <c r="A79" s="318" t="s">
        <v>8</v>
      </c>
      <c r="B79" s="319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5095.7831813840594</v>
      </c>
      <c r="I79" s="450"/>
      <c r="J79" s="450"/>
      <c r="K79" s="145"/>
      <c r="L79" s="145"/>
    </row>
    <row r="80" spans="1:12" x14ac:dyDescent="0.25">
      <c r="A80" s="481" t="s">
        <v>9</v>
      </c>
      <c r="B80" s="481"/>
      <c r="C80" s="482" t="s">
        <v>79</v>
      </c>
      <c r="D80" s="483"/>
      <c r="E80" s="497">
        <v>1.6500000000000001E-2</v>
      </c>
      <c r="F80" s="497"/>
      <c r="G80" s="497"/>
      <c r="H80" s="450">
        <f>E80*D88</f>
        <v>60.446760000000005</v>
      </c>
      <c r="I80" s="450"/>
      <c r="J80" s="450"/>
      <c r="K80" s="145"/>
      <c r="L80" s="145"/>
    </row>
    <row r="81" spans="1:12" x14ac:dyDescent="0.25">
      <c r="A81" s="481" t="s">
        <v>9</v>
      </c>
      <c r="B81" s="481"/>
      <c r="C81" s="482" t="s">
        <v>80</v>
      </c>
      <c r="D81" s="483"/>
      <c r="E81" s="497">
        <v>7.5999999999999998E-2</v>
      </c>
      <c r="F81" s="497"/>
      <c r="G81" s="497"/>
      <c r="H81" s="450">
        <f>E81*D88</f>
        <v>278.42144000000002</v>
      </c>
      <c r="I81" s="450"/>
      <c r="J81" s="450"/>
      <c r="K81" s="145"/>
      <c r="L81" s="145"/>
    </row>
    <row r="82" spans="1:12" x14ac:dyDescent="0.25">
      <c r="A82" s="481" t="s">
        <v>10</v>
      </c>
      <c r="B82" s="481"/>
      <c r="C82" s="482" t="s">
        <v>81</v>
      </c>
      <c r="D82" s="483"/>
      <c r="E82" s="497"/>
      <c r="F82" s="497"/>
      <c r="G82" s="497"/>
      <c r="H82" s="450"/>
      <c r="I82" s="450"/>
      <c r="J82" s="450"/>
      <c r="K82" s="145"/>
      <c r="L82" s="145"/>
    </row>
    <row r="83" spans="1:12" ht="15.75" thickBot="1" x14ac:dyDescent="0.3">
      <c r="A83" s="477" t="s">
        <v>11</v>
      </c>
      <c r="B83" s="477"/>
      <c r="C83" s="473" t="s">
        <v>82</v>
      </c>
      <c r="D83" s="474"/>
      <c r="E83" s="842">
        <v>0.05</v>
      </c>
      <c r="F83" s="842"/>
      <c r="G83" s="842"/>
      <c r="H83" s="449">
        <f>E83*D88</f>
        <v>183.17200000000003</v>
      </c>
      <c r="I83" s="449"/>
      <c r="J83" s="449"/>
      <c r="K83" s="145"/>
      <c r="L83" s="145"/>
    </row>
    <row r="84" spans="1:12" ht="15.75" thickBot="1" x14ac:dyDescent="0.3">
      <c r="A84" s="570" t="s">
        <v>340</v>
      </c>
      <c r="B84" s="571"/>
      <c r="C84" s="571"/>
      <c r="D84" s="571"/>
      <c r="E84" s="571"/>
      <c r="F84" s="571"/>
      <c r="G84" s="571"/>
      <c r="H84" s="547">
        <f>H77+H78+H80+H81+H83</f>
        <v>1264.8738394804898</v>
      </c>
      <c r="I84" s="485"/>
      <c r="J84" s="486"/>
      <c r="K84" s="145"/>
      <c r="L84" s="145"/>
    </row>
    <row r="85" spans="1:12" ht="10.5" customHeight="1" thickBot="1" x14ac:dyDescent="0.3">
      <c r="E85" s="131"/>
      <c r="F85" s="131"/>
      <c r="G85" s="131"/>
      <c r="H85" s="161"/>
      <c r="I85" s="161"/>
      <c r="J85" s="161"/>
      <c r="K85" s="145"/>
      <c r="L85" s="145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722">
        <f>SUM(H84+H74+E67+H46+E37+E12)</f>
        <v>5634.5079175173214</v>
      </c>
      <c r="I86" s="723"/>
      <c r="J86" s="724"/>
      <c r="K86" s="145"/>
      <c r="L86" s="145"/>
    </row>
    <row r="87" spans="1:12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  <c r="K87" s="145"/>
      <c r="L87" s="145"/>
    </row>
    <row r="88" spans="1:12" x14ac:dyDescent="0.25">
      <c r="A88" s="145"/>
      <c r="B88" s="145"/>
      <c r="C88" s="145"/>
      <c r="D88" s="163">
        <v>3663.44</v>
      </c>
      <c r="E88" s="133"/>
      <c r="F88" s="133"/>
      <c r="G88" s="133"/>
      <c r="H88" s="145"/>
      <c r="I88" s="145"/>
      <c r="J88" s="145"/>
      <c r="K88" s="145"/>
      <c r="L88" s="145"/>
    </row>
    <row r="89" spans="1:12" x14ac:dyDescent="0.25">
      <c r="A89" s="145"/>
      <c r="B89" s="145"/>
      <c r="C89" s="145"/>
      <c r="D89" s="145"/>
      <c r="E89" s="133"/>
      <c r="F89" s="133"/>
      <c r="G89" s="133"/>
      <c r="H89" s="145"/>
      <c r="I89" s="145"/>
      <c r="J89" s="145"/>
      <c r="K89" s="145"/>
      <c r="L89" s="145"/>
    </row>
    <row r="90" spans="1:12" x14ac:dyDescent="0.25">
      <c r="A90" s="145"/>
      <c r="B90" s="145"/>
      <c r="C90" s="145"/>
      <c r="D90" s="145"/>
      <c r="E90" s="133"/>
      <c r="F90" s="133"/>
      <c r="G90" s="133"/>
      <c r="H90" s="145"/>
      <c r="I90" s="145"/>
      <c r="J90" s="145"/>
      <c r="K90" s="145"/>
      <c r="L90" s="145"/>
    </row>
    <row r="91" spans="1:12" x14ac:dyDescent="0.25">
      <c r="A91" s="145"/>
      <c r="B91" s="145"/>
      <c r="C91" s="145"/>
      <c r="D91" s="145"/>
      <c r="E91" s="133"/>
      <c r="F91" s="133"/>
      <c r="G91" s="133"/>
      <c r="H91" s="145"/>
      <c r="I91" s="145"/>
      <c r="J91" s="145"/>
      <c r="K91" s="145"/>
      <c r="L91" s="145"/>
    </row>
    <row r="92" spans="1:12" ht="15.75" thickBot="1" x14ac:dyDescent="0.3">
      <c r="A92" s="145"/>
      <c r="B92" s="145"/>
      <c r="C92" s="145"/>
      <c r="D92" s="145"/>
      <c r="E92" s="133"/>
      <c r="F92" s="133"/>
      <c r="G92" s="133"/>
      <c r="H92" s="145"/>
      <c r="I92" s="145"/>
      <c r="J92" s="145"/>
      <c r="K92" s="145"/>
      <c r="L92" s="145"/>
    </row>
  </sheetData>
  <mergeCells count="230">
    <mergeCell ref="A1:J1"/>
    <mergeCell ref="A46:G46"/>
    <mergeCell ref="A84:G84"/>
    <mergeCell ref="A74:G7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39997558519241921"/>
  </sheetPr>
  <dimension ref="A1:L92"/>
  <sheetViews>
    <sheetView topLeftCell="A28" zoomScaleSheetLayoutView="100" workbookViewId="0">
      <selection activeCell="C90" sqref="C90"/>
    </sheetView>
  </sheetViews>
  <sheetFormatPr defaultRowHeight="15" x14ac:dyDescent="0.25"/>
  <cols>
    <col min="1" max="1" width="6.85546875" style="134" customWidth="1"/>
    <col min="2" max="2" width="3.5703125" style="134" customWidth="1"/>
    <col min="3" max="3" width="10.42578125" style="134" customWidth="1"/>
    <col min="4" max="4" width="39.5703125" style="134" customWidth="1"/>
    <col min="5" max="7" width="3" style="116" customWidth="1"/>
    <col min="8" max="8" width="3" style="134" customWidth="1"/>
    <col min="9" max="9" width="5.7109375" style="134" hidden="1" customWidth="1"/>
    <col min="10" max="10" width="11.710937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366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45"/>
      <c r="L5" s="145"/>
    </row>
    <row r="6" spans="1:12" x14ac:dyDescent="0.25">
      <c r="A6" s="123" t="s">
        <v>2</v>
      </c>
      <c r="B6" s="606" t="s">
        <v>1</v>
      </c>
      <c r="C6" s="607"/>
      <c r="D6" s="608"/>
      <c r="E6" s="848">
        <v>1691</v>
      </c>
      <c r="F6" s="848"/>
      <c r="G6" s="848"/>
      <c r="H6" s="848"/>
      <c r="I6" s="848"/>
      <c r="J6" s="848"/>
      <c r="K6" s="145"/>
      <c r="L6" s="145"/>
    </row>
    <row r="7" spans="1:12" x14ac:dyDescent="0.25">
      <c r="A7" s="123" t="s">
        <v>7</v>
      </c>
      <c r="B7" s="606" t="s">
        <v>25</v>
      </c>
      <c r="C7" s="607"/>
      <c r="D7" s="608"/>
      <c r="E7" s="850"/>
      <c r="F7" s="851"/>
      <c r="G7" s="851"/>
      <c r="H7" s="851"/>
      <c r="I7" s="851"/>
      <c r="J7" s="852"/>
      <c r="K7" s="145"/>
      <c r="L7" s="145"/>
    </row>
    <row r="8" spans="1:12" x14ac:dyDescent="0.25">
      <c r="A8" s="123" t="s">
        <v>8</v>
      </c>
      <c r="B8" s="606" t="s">
        <v>26</v>
      </c>
      <c r="C8" s="607"/>
      <c r="D8" s="608"/>
      <c r="E8" s="850">
        <f>((((E6+E11)/220)*50%)*9)*8</f>
        <v>387.39272727272731</v>
      </c>
      <c r="F8" s="851"/>
      <c r="G8" s="851"/>
      <c r="H8" s="851"/>
      <c r="I8" s="851"/>
      <c r="J8" s="852"/>
      <c r="K8" s="145"/>
      <c r="L8" s="145"/>
    </row>
    <row r="9" spans="1:12" x14ac:dyDescent="0.25">
      <c r="A9" s="123" t="s">
        <v>9</v>
      </c>
      <c r="B9" s="606" t="s">
        <v>27</v>
      </c>
      <c r="C9" s="607"/>
      <c r="D9" s="608"/>
      <c r="E9" s="850"/>
      <c r="F9" s="851"/>
      <c r="G9" s="851"/>
      <c r="H9" s="851"/>
      <c r="I9" s="851"/>
      <c r="J9" s="852"/>
      <c r="K9" s="145"/>
      <c r="L9" s="145"/>
    </row>
    <row r="10" spans="1:12" x14ac:dyDescent="0.25">
      <c r="A10" s="123" t="s">
        <v>10</v>
      </c>
      <c r="B10" s="606" t="s">
        <v>28</v>
      </c>
      <c r="C10" s="607"/>
      <c r="D10" s="608"/>
      <c r="E10" s="848"/>
      <c r="F10" s="848"/>
      <c r="G10" s="848"/>
      <c r="H10" s="848"/>
      <c r="I10" s="848"/>
      <c r="J10" s="848"/>
      <c r="K10" s="145"/>
      <c r="L10" s="145"/>
    </row>
    <row r="11" spans="1:12" ht="15.75" thickBot="1" x14ac:dyDescent="0.3">
      <c r="A11" s="125" t="s">
        <v>11</v>
      </c>
      <c r="B11" s="609" t="s">
        <v>161</v>
      </c>
      <c r="C11" s="610"/>
      <c r="D11" s="611"/>
      <c r="E11" s="849">
        <f>E6*40%</f>
        <v>676.40000000000009</v>
      </c>
      <c r="F11" s="849"/>
      <c r="G11" s="849"/>
      <c r="H11" s="849"/>
      <c r="I11" s="849"/>
      <c r="J11" s="849"/>
      <c r="K11" s="145"/>
      <c r="L11" s="145"/>
    </row>
    <row r="12" spans="1:12" ht="15.75" thickBot="1" x14ac:dyDescent="0.3">
      <c r="A12" s="458" t="s">
        <v>330</v>
      </c>
      <c r="B12" s="459"/>
      <c r="C12" s="459"/>
      <c r="D12" s="725"/>
      <c r="E12" s="547">
        <f>SUM(E6:J11)</f>
        <v>2754.7927272727275</v>
      </c>
      <c r="F12" s="485"/>
      <c r="G12" s="485"/>
      <c r="H12" s="485"/>
      <c r="I12" s="485"/>
      <c r="J12" s="486"/>
      <c r="K12" s="145"/>
      <c r="L12" s="145"/>
    </row>
    <row r="13" spans="1:12" ht="27" customHeight="1" x14ac:dyDescent="0.25">
      <c r="A13" s="551" t="s">
        <v>29</v>
      </c>
      <c r="B13" s="715"/>
      <c r="C13" s="715"/>
      <c r="D13" s="716"/>
      <c r="E13" s="548">
        <f>E12*E30</f>
        <v>1013.7637236363638</v>
      </c>
      <c r="F13" s="549"/>
      <c r="G13" s="549"/>
      <c r="H13" s="549"/>
      <c r="I13" s="549"/>
      <c r="J13" s="550"/>
      <c r="K13" s="145"/>
      <c r="L13" s="145"/>
    </row>
    <row r="14" spans="1:12" ht="9.7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45"/>
      <c r="L14" s="145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422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3" t="s">
        <v>2</v>
      </c>
      <c r="B17" s="482" t="s">
        <v>34</v>
      </c>
      <c r="C17" s="521"/>
      <c r="D17" s="483"/>
      <c r="E17" s="322">
        <v>8.3299999999999999E-2</v>
      </c>
      <c r="F17" s="323"/>
      <c r="G17" s="324"/>
      <c r="H17" s="450">
        <f>E17*E12</f>
        <v>229.47423418181819</v>
      </c>
      <c r="I17" s="450"/>
      <c r="J17" s="450"/>
      <c r="K17" s="145"/>
      <c r="L17" s="145"/>
    </row>
    <row r="18" spans="1:12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333.32992000000002</v>
      </c>
      <c r="I18" s="450"/>
      <c r="J18" s="450"/>
      <c r="K18" s="145"/>
      <c r="L18" s="145"/>
    </row>
    <row r="19" spans="1:12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562.80415418181815</v>
      </c>
      <c r="I19" s="525"/>
      <c r="J19" s="525"/>
      <c r="K19" s="145"/>
      <c r="L19" s="145"/>
    </row>
    <row r="20" spans="1:12" ht="31.5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215.4247912727273</v>
      </c>
      <c r="I20" s="291"/>
      <c r="J20" s="292"/>
      <c r="K20" s="145"/>
      <c r="L20" s="145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663.51937629090924</v>
      </c>
      <c r="I22" s="450"/>
      <c r="J22" s="450"/>
      <c r="K22" s="145"/>
      <c r="L22" s="145"/>
    </row>
    <row r="23" spans="1:12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82.939922036363654</v>
      </c>
      <c r="I23" s="450"/>
      <c r="J23" s="450"/>
      <c r="K23" s="145"/>
      <c r="L23" s="145"/>
    </row>
    <row r="24" spans="1:12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99.527906443636368</v>
      </c>
      <c r="I24" s="450"/>
      <c r="J24" s="450"/>
      <c r="K24" s="145"/>
      <c r="L24" s="145"/>
    </row>
    <row r="25" spans="1:12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49.763953221818184</v>
      </c>
      <c r="I25" s="450"/>
      <c r="J25" s="450"/>
      <c r="K25" s="145"/>
      <c r="L25" s="145"/>
    </row>
    <row r="26" spans="1:12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33.175968814545456</v>
      </c>
      <c r="I26" s="450"/>
      <c r="J26" s="450"/>
      <c r="K26" s="145"/>
      <c r="L26" s="145"/>
    </row>
    <row r="27" spans="1:12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19.905581288727277</v>
      </c>
      <c r="I27" s="450"/>
      <c r="J27" s="450"/>
      <c r="K27" s="145"/>
      <c r="L27" s="145"/>
    </row>
    <row r="28" spans="1:12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6.6351937629090916</v>
      </c>
      <c r="I28" s="450"/>
      <c r="J28" s="450"/>
      <c r="K28" s="145"/>
      <c r="L28" s="145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265.40775051636365</v>
      </c>
      <c r="I29" s="450"/>
      <c r="J29" s="450"/>
      <c r="K29" s="145"/>
      <c r="L29" s="145"/>
    </row>
    <row r="30" spans="1:12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1220.8756523752731</v>
      </c>
      <c r="I30" s="592"/>
      <c r="J30" s="592"/>
      <c r="K30" s="145"/>
      <c r="L30" s="145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v>0</v>
      </c>
      <c r="I32" s="450"/>
      <c r="J32" s="450"/>
      <c r="K32" s="145"/>
      <c r="L32" s="145"/>
    </row>
    <row r="33" spans="1:12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5*8</f>
        <v>40</v>
      </c>
      <c r="I33" s="450"/>
      <c r="J33" s="450"/>
      <c r="K33" s="145"/>
      <c r="L33" s="145"/>
    </row>
    <row r="34" spans="1:12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0</v>
      </c>
      <c r="I34" s="450"/>
      <c r="J34" s="450"/>
      <c r="K34" s="145"/>
      <c r="L34" s="145"/>
    </row>
    <row r="35" spans="1:12" x14ac:dyDescent="0.25">
      <c r="A35" s="482" t="s">
        <v>9</v>
      </c>
      <c r="B35" s="483"/>
      <c r="C35" s="478" t="s">
        <v>28</v>
      </c>
      <c r="D35" s="479"/>
      <c r="E35" s="497"/>
      <c r="F35" s="497"/>
      <c r="G35" s="497"/>
      <c r="H35" s="450">
        <v>25.95</v>
      </c>
      <c r="I35" s="450"/>
      <c r="J35" s="450"/>
      <c r="K35" s="145"/>
      <c r="L35" s="145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65.95</v>
      </c>
      <c r="I36" s="451"/>
      <c r="J36" s="451"/>
      <c r="K36" s="145"/>
      <c r="L36" s="145"/>
    </row>
    <row r="37" spans="1:12" ht="15.75" thickBot="1" x14ac:dyDescent="0.3">
      <c r="A37" s="458" t="s">
        <v>72</v>
      </c>
      <c r="B37" s="459"/>
      <c r="C37" s="459"/>
      <c r="D37" s="725"/>
      <c r="E37" s="587">
        <f>H19+H30+H36</f>
        <v>1849.6298065570913</v>
      </c>
      <c r="F37" s="498"/>
      <c r="G37" s="498"/>
      <c r="H37" s="498"/>
      <c r="I37" s="498"/>
      <c r="J37" s="499"/>
      <c r="K37" s="145"/>
      <c r="L37" s="145"/>
    </row>
    <row r="38" spans="1:12" ht="8.2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45"/>
      <c r="L38" s="145"/>
    </row>
    <row r="39" spans="1:12" ht="27" customHeight="1" thickBot="1" x14ac:dyDescent="0.3">
      <c r="A39" s="494" t="s">
        <v>131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2" t="s">
        <v>2</v>
      </c>
      <c r="B40" s="453"/>
      <c r="C40" s="452" t="s">
        <v>51</v>
      </c>
      <c r="D40" s="453"/>
      <c r="E40" s="128"/>
      <c r="F40" s="129"/>
      <c r="G40" s="130"/>
      <c r="H40" s="456">
        <f>E12/12*5%</f>
        <v>11.478303030303032</v>
      </c>
      <c r="I40" s="457"/>
      <c r="J40" s="453"/>
      <c r="K40" s="145"/>
      <c r="L40" s="145"/>
    </row>
    <row r="41" spans="1:12" x14ac:dyDescent="0.25">
      <c r="A41" s="452" t="s">
        <v>7</v>
      </c>
      <c r="B41" s="453"/>
      <c r="C41" s="452" t="s">
        <v>52</v>
      </c>
      <c r="D41" s="453"/>
      <c r="E41" s="128"/>
      <c r="F41" s="129"/>
      <c r="G41" s="130"/>
      <c r="H41" s="456">
        <f>H40*8%</f>
        <v>0.91826424242424254</v>
      </c>
      <c r="I41" s="457"/>
      <c r="J41" s="453"/>
      <c r="K41" s="145"/>
      <c r="L41" s="145"/>
    </row>
    <row r="42" spans="1:12" ht="33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45"/>
      <c r="L42" s="145"/>
    </row>
    <row r="43" spans="1:12" x14ac:dyDescent="0.25">
      <c r="A43" s="481" t="s">
        <v>9</v>
      </c>
      <c r="B43" s="481"/>
      <c r="C43" s="482" t="s">
        <v>54</v>
      </c>
      <c r="D43" s="483"/>
      <c r="E43" s="497"/>
      <c r="F43" s="497"/>
      <c r="G43" s="497"/>
      <c r="H43" s="450">
        <f>E12/30/12*7*100%</f>
        <v>53.565414141414152</v>
      </c>
      <c r="I43" s="450"/>
      <c r="J43" s="450"/>
      <c r="K43" s="145"/>
      <c r="L43" s="145"/>
    </row>
    <row r="44" spans="1:12" ht="30" customHeight="1" x14ac:dyDescent="0.25">
      <c r="A44" s="481" t="s">
        <v>10</v>
      </c>
      <c r="B44" s="481"/>
      <c r="C44" s="478" t="s">
        <v>83</v>
      </c>
      <c r="D44" s="479"/>
      <c r="E44" s="497"/>
      <c r="F44" s="497"/>
      <c r="G44" s="497"/>
      <c r="H44" s="450">
        <f>H43*39.8%</f>
        <v>21.319034828282831</v>
      </c>
      <c r="I44" s="450"/>
      <c r="J44" s="450"/>
      <c r="K44" s="145"/>
      <c r="L44" s="145"/>
    </row>
    <row r="45" spans="1:12" ht="31.5" customHeight="1" thickBot="1" x14ac:dyDescent="0.3">
      <c r="A45" s="473" t="s">
        <v>11</v>
      </c>
      <c r="B45" s="474"/>
      <c r="C45" s="834" t="s">
        <v>53</v>
      </c>
      <c r="D45" s="835"/>
      <c r="E45" s="836"/>
      <c r="F45" s="837"/>
      <c r="G45" s="838"/>
      <c r="H45" s="470">
        <f>E12*5%</f>
        <v>137.73963636363638</v>
      </c>
      <c r="I45" s="471"/>
      <c r="J45" s="472"/>
      <c r="K45" s="145"/>
      <c r="L45" s="145"/>
    </row>
    <row r="46" spans="1:12" ht="15.75" thickBot="1" x14ac:dyDescent="0.3">
      <c r="A46" s="570" t="s">
        <v>333</v>
      </c>
      <c r="B46" s="571"/>
      <c r="C46" s="571"/>
      <c r="D46" s="571"/>
      <c r="E46" s="571"/>
      <c r="F46" s="571"/>
      <c r="G46" s="571"/>
      <c r="H46" s="547">
        <f>SUM(H40:J45)</f>
        <v>225.02065260606065</v>
      </c>
      <c r="I46" s="485"/>
      <c r="J46" s="486"/>
      <c r="K46" s="145"/>
      <c r="L46" s="145"/>
    </row>
    <row r="47" spans="1:12" ht="9.75" customHeight="1" thickBot="1" x14ac:dyDescent="0.3">
      <c r="E47" s="131"/>
      <c r="F47" s="131"/>
      <c r="G47" s="131"/>
      <c r="H47" s="161"/>
      <c r="I47" s="161"/>
      <c r="J47" s="161"/>
      <c r="K47" s="145"/>
      <c r="L47" s="145"/>
    </row>
    <row r="48" spans="1:12" ht="33" customHeight="1" thickBot="1" x14ac:dyDescent="0.3">
      <c r="A48" s="494" t="s">
        <v>373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2" t="s">
        <v>2</v>
      </c>
      <c r="B49" s="453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45"/>
      <c r="L49" s="145"/>
    </row>
    <row r="50" spans="1:12" x14ac:dyDescent="0.25">
      <c r="A50" s="452" t="s">
        <v>7</v>
      </c>
      <c r="B50" s="453"/>
      <c r="C50" s="452" t="s">
        <v>57</v>
      </c>
      <c r="D50" s="453"/>
      <c r="E50" s="128"/>
      <c r="F50" s="129"/>
      <c r="G50" s="130"/>
      <c r="H50" s="456">
        <f>E12/30/12</f>
        <v>7.6522020202020213</v>
      </c>
      <c r="I50" s="457"/>
      <c r="J50" s="453"/>
      <c r="K50" s="145"/>
      <c r="L50" s="145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0.5739151515151516</v>
      </c>
      <c r="I51" s="450"/>
      <c r="J51" s="450"/>
      <c r="K51" s="145"/>
      <c r="L51" s="145"/>
    </row>
    <row r="52" spans="1:12" x14ac:dyDescent="0.25">
      <c r="A52" s="481" t="s">
        <v>9</v>
      </c>
      <c r="B52" s="481"/>
      <c r="C52" s="284" t="s">
        <v>59</v>
      </c>
      <c r="D52" s="286"/>
      <c r="E52" s="497"/>
      <c r="F52" s="497"/>
      <c r="G52" s="497"/>
      <c r="H52" s="450">
        <f>E12/30/12*15*8%</f>
        <v>9.1826424242424256</v>
      </c>
      <c r="I52" s="450"/>
      <c r="J52" s="450"/>
      <c r="K52" s="145"/>
      <c r="L52" s="145"/>
    </row>
    <row r="53" spans="1:12" x14ac:dyDescent="0.25">
      <c r="A53" s="481" t="s">
        <v>10</v>
      </c>
      <c r="B53" s="481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45"/>
      <c r="L53" s="145"/>
    </row>
    <row r="54" spans="1:12" x14ac:dyDescent="0.25">
      <c r="A54" s="481" t="s">
        <v>11</v>
      </c>
      <c r="B54" s="481"/>
      <c r="C54" s="478" t="s">
        <v>61</v>
      </c>
      <c r="D54" s="479"/>
      <c r="E54" s="497"/>
      <c r="F54" s="497"/>
      <c r="G54" s="497"/>
      <c r="H54" s="450">
        <f>E12/30/12*5*40%</f>
        <v>15.304404040404044</v>
      </c>
      <c r="I54" s="450"/>
      <c r="J54" s="450"/>
      <c r="K54" s="145"/>
      <c r="L54" s="145"/>
    </row>
    <row r="55" spans="1:12" ht="25.5" customHeight="1" x14ac:dyDescent="0.25">
      <c r="A55" s="481" t="s">
        <v>39</v>
      </c>
      <c r="B55" s="481"/>
      <c r="C55" s="478" t="s">
        <v>62</v>
      </c>
      <c r="D55" s="479"/>
      <c r="E55" s="497"/>
      <c r="F55" s="497"/>
      <c r="G55" s="497"/>
      <c r="H55" s="450">
        <f>SUM(H49:J54)*39.8%</f>
        <v>13.021524988939394</v>
      </c>
      <c r="I55" s="450"/>
      <c r="J55" s="450"/>
      <c r="K55" s="145"/>
      <c r="L55" s="145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45.738924458636362</v>
      </c>
      <c r="I56" s="592"/>
      <c r="J56" s="592"/>
      <c r="K56" s="145"/>
      <c r="L56" s="145"/>
    </row>
    <row r="57" spans="1:12" ht="30" customHeight="1" thickBot="1" x14ac:dyDescent="0.3">
      <c r="A57" s="507" t="s">
        <v>420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28.5" customHeight="1" x14ac:dyDescent="0.25">
      <c r="A58" s="452" t="s">
        <v>2</v>
      </c>
      <c r="B58" s="453"/>
      <c r="C58" s="454" t="s">
        <v>64</v>
      </c>
      <c r="D58" s="455"/>
      <c r="E58" s="128"/>
      <c r="F58" s="129"/>
      <c r="G58" s="130"/>
      <c r="H58" s="456">
        <f>((((E12+(E12/3))*0.3333)/12)*2%)</f>
        <v>2.0403831466666666</v>
      </c>
      <c r="I58" s="457"/>
      <c r="J58" s="453"/>
      <c r="K58" s="145"/>
      <c r="L58" s="145"/>
    </row>
    <row r="59" spans="1:12" ht="45" customHeight="1" x14ac:dyDescent="0.25">
      <c r="A59" s="452" t="s">
        <v>7</v>
      </c>
      <c r="B59" s="453"/>
      <c r="C59" s="454" t="s">
        <v>65</v>
      </c>
      <c r="D59" s="455"/>
      <c r="E59" s="128"/>
      <c r="F59" s="129"/>
      <c r="G59" s="130"/>
      <c r="H59" s="456">
        <f>H58*39.8%</f>
        <v>0.81207249237333323</v>
      </c>
      <c r="I59" s="457"/>
      <c r="J59" s="453"/>
      <c r="K59" s="145"/>
      <c r="L59" s="145"/>
    </row>
    <row r="60" spans="1:12" ht="44.2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7.9103367493883354</v>
      </c>
      <c r="I60" s="450"/>
      <c r="J60" s="450"/>
      <c r="K60" s="145"/>
      <c r="L60" s="145"/>
    </row>
    <row r="61" spans="1:12" x14ac:dyDescent="0.25">
      <c r="A61" s="481" t="s">
        <v>9</v>
      </c>
      <c r="B61" s="481"/>
      <c r="C61" s="482" t="s">
        <v>67</v>
      </c>
      <c r="D61" s="483"/>
      <c r="E61" s="497"/>
      <c r="F61" s="497"/>
      <c r="G61" s="497"/>
      <c r="H61" s="450"/>
      <c r="I61" s="450"/>
      <c r="J61" s="450"/>
      <c r="K61" s="145"/>
      <c r="L61" s="145"/>
    </row>
    <row r="62" spans="1:12" ht="13.5" customHeight="1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10.762792388428336</v>
      </c>
      <c r="I62" s="592"/>
      <c r="J62" s="592"/>
      <c r="K62" s="145"/>
      <c r="L62" s="145"/>
    </row>
    <row r="63" spans="1:12" ht="30" customHeight="1" thickBot="1" x14ac:dyDescent="0.3">
      <c r="A63" s="507" t="s">
        <v>421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0" customHeight="1" x14ac:dyDescent="0.25">
      <c r="A64" s="452" t="s">
        <v>2</v>
      </c>
      <c r="B64" s="453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45"/>
      <c r="L64" s="145"/>
    </row>
    <row r="65" spans="1:12" ht="31.5" customHeight="1" x14ac:dyDescent="0.25">
      <c r="A65" s="452" t="s">
        <v>7</v>
      </c>
      <c r="B65" s="453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45"/>
      <c r="L65" s="145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45"/>
      <c r="L66" s="145"/>
    </row>
    <row r="67" spans="1:12" ht="15.75" thickBot="1" x14ac:dyDescent="0.3">
      <c r="A67" s="458" t="s">
        <v>71</v>
      </c>
      <c r="B67" s="459"/>
      <c r="C67" s="459"/>
      <c r="D67" s="725"/>
      <c r="E67" s="587">
        <f>H66+H62+H56</f>
        <v>56.5018421367567</v>
      </c>
      <c r="F67" s="498"/>
      <c r="G67" s="498"/>
      <c r="H67" s="498"/>
      <c r="I67" s="498"/>
      <c r="J67" s="499"/>
      <c r="K67" s="145"/>
      <c r="L67" s="145"/>
    </row>
    <row r="68" spans="1:12" ht="12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45"/>
      <c r="L68" s="145"/>
    </row>
    <row r="69" spans="1:12" ht="27.75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2" t="s">
        <v>2</v>
      </c>
      <c r="B70" s="453"/>
      <c r="C70" s="452" t="s">
        <v>74</v>
      </c>
      <c r="D70" s="453"/>
      <c r="E70" s="839"/>
      <c r="F70" s="840"/>
      <c r="G70" s="841"/>
      <c r="H70" s="456">
        <v>45</v>
      </c>
      <c r="I70" s="457"/>
      <c r="J70" s="453"/>
      <c r="K70" s="145"/>
      <c r="L70" s="145"/>
    </row>
    <row r="71" spans="1:12" x14ac:dyDescent="0.25">
      <c r="A71" s="452" t="s">
        <v>7</v>
      </c>
      <c r="B71" s="453"/>
      <c r="C71" s="452" t="s">
        <v>75</v>
      </c>
      <c r="D71" s="453"/>
      <c r="E71" s="128"/>
      <c r="F71" s="129"/>
      <c r="G71" s="130"/>
      <c r="H71" s="456"/>
      <c r="I71" s="457"/>
      <c r="J71" s="453"/>
      <c r="K71" s="145"/>
      <c r="L71" s="145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150</v>
      </c>
      <c r="I72" s="450"/>
      <c r="J72" s="450"/>
      <c r="K72" s="145"/>
      <c r="L72" s="145"/>
    </row>
    <row r="73" spans="1:12" ht="15.75" thickBot="1" x14ac:dyDescent="0.3">
      <c r="A73" s="477" t="s">
        <v>9</v>
      </c>
      <c r="B73" s="477"/>
      <c r="C73" s="473" t="s">
        <v>28</v>
      </c>
      <c r="D73" s="474"/>
      <c r="E73" s="842"/>
      <c r="F73" s="842"/>
      <c r="G73" s="842"/>
      <c r="H73" s="449">
        <v>6.5</v>
      </c>
      <c r="I73" s="449"/>
      <c r="J73" s="449"/>
      <c r="K73" s="145"/>
      <c r="L73" s="145"/>
    </row>
    <row r="74" spans="1:12" ht="15.75" thickBot="1" x14ac:dyDescent="0.3">
      <c r="A74" s="570" t="s">
        <v>336</v>
      </c>
      <c r="B74" s="571"/>
      <c r="C74" s="571"/>
      <c r="D74" s="571"/>
      <c r="E74" s="571"/>
      <c r="F74" s="571"/>
      <c r="G74" s="572"/>
      <c r="H74" s="484">
        <f>SUM(H70:J73)</f>
        <v>201.5</v>
      </c>
      <c r="I74" s="485"/>
      <c r="J74" s="486"/>
      <c r="K74" s="145"/>
      <c r="L74" s="145"/>
    </row>
    <row r="75" spans="1:12" ht="9" customHeight="1" thickBot="1" x14ac:dyDescent="0.3">
      <c r="E75" s="131"/>
      <c r="F75" s="131"/>
      <c r="G75" s="131"/>
      <c r="H75" s="161"/>
      <c r="I75" s="161"/>
      <c r="J75" s="161"/>
      <c r="K75" s="145"/>
      <c r="L75" s="145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2" t="s">
        <v>2</v>
      </c>
      <c r="B77" s="453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356.12115200008458</v>
      </c>
      <c r="I77" s="457"/>
      <c r="J77" s="453"/>
      <c r="K77" s="145"/>
      <c r="L77" s="145"/>
    </row>
    <row r="78" spans="1:12" x14ac:dyDescent="0.25">
      <c r="A78" s="452" t="s">
        <v>7</v>
      </c>
      <c r="B78" s="453"/>
      <c r="C78" s="452" t="s">
        <v>12</v>
      </c>
      <c r="D78" s="453"/>
      <c r="E78" s="843">
        <v>9.9999049397341402E-2</v>
      </c>
      <c r="F78" s="840"/>
      <c r="G78" s="841"/>
      <c r="H78" s="456">
        <f>E78*(H74+E67+H46+E37+E12)</f>
        <v>508.73966671849399</v>
      </c>
      <c r="I78" s="457"/>
      <c r="J78" s="453"/>
      <c r="K78" s="145"/>
      <c r="L78" s="145"/>
    </row>
    <row r="79" spans="1:12" x14ac:dyDescent="0.25">
      <c r="A79" s="318" t="s">
        <v>8</v>
      </c>
      <c r="B79" s="319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5932.8804997931611</v>
      </c>
      <c r="I79" s="450"/>
      <c r="J79" s="450"/>
      <c r="K79" s="145"/>
      <c r="L79" s="145"/>
    </row>
    <row r="80" spans="1:12" x14ac:dyDescent="0.25">
      <c r="A80" s="481" t="s">
        <v>9</v>
      </c>
      <c r="B80" s="481"/>
      <c r="C80" s="482" t="s">
        <v>79</v>
      </c>
      <c r="D80" s="483"/>
      <c r="E80" s="497">
        <v>1.6500000000000001E-2</v>
      </c>
      <c r="F80" s="497"/>
      <c r="G80" s="497"/>
      <c r="H80" s="450">
        <f>E80*D88</f>
        <v>60.446760000000005</v>
      </c>
      <c r="I80" s="450"/>
      <c r="J80" s="450"/>
      <c r="K80" s="145"/>
      <c r="L80" s="145"/>
    </row>
    <row r="81" spans="1:12" x14ac:dyDescent="0.25">
      <c r="A81" s="481" t="s">
        <v>9</v>
      </c>
      <c r="B81" s="481"/>
      <c r="C81" s="482" t="s">
        <v>80</v>
      </c>
      <c r="D81" s="483"/>
      <c r="E81" s="497">
        <v>7.5999999999999998E-2</v>
      </c>
      <c r="F81" s="497"/>
      <c r="G81" s="497"/>
      <c r="H81" s="450">
        <f>E81*D88</f>
        <v>278.42144000000002</v>
      </c>
      <c r="I81" s="450"/>
      <c r="J81" s="450"/>
      <c r="K81" s="145"/>
      <c r="L81" s="145"/>
    </row>
    <row r="82" spans="1:12" x14ac:dyDescent="0.25">
      <c r="A82" s="481" t="s">
        <v>10</v>
      </c>
      <c r="B82" s="481"/>
      <c r="C82" s="482" t="s">
        <v>81</v>
      </c>
      <c r="D82" s="483"/>
      <c r="E82" s="497"/>
      <c r="F82" s="497"/>
      <c r="G82" s="497"/>
      <c r="H82" s="450"/>
      <c r="I82" s="450"/>
      <c r="J82" s="450"/>
      <c r="K82" s="145"/>
      <c r="L82" s="145"/>
    </row>
    <row r="83" spans="1:12" ht="15.75" thickBot="1" x14ac:dyDescent="0.3">
      <c r="A83" s="477" t="s">
        <v>11</v>
      </c>
      <c r="B83" s="477"/>
      <c r="C83" s="473" t="s">
        <v>82</v>
      </c>
      <c r="D83" s="474"/>
      <c r="E83" s="842">
        <v>0.05</v>
      </c>
      <c r="F83" s="842"/>
      <c r="G83" s="842"/>
      <c r="H83" s="449">
        <f>E83*D88</f>
        <v>183.17200000000003</v>
      </c>
      <c r="I83" s="449"/>
      <c r="J83" s="449"/>
      <c r="K83" s="145"/>
      <c r="L83" s="145"/>
    </row>
    <row r="84" spans="1:12" ht="15.75" thickBot="1" x14ac:dyDescent="0.3">
      <c r="A84" s="570" t="s">
        <v>340</v>
      </c>
      <c r="B84" s="571"/>
      <c r="C84" s="571"/>
      <c r="D84" s="571"/>
      <c r="E84" s="571"/>
      <c r="F84" s="571"/>
      <c r="G84" s="572"/>
      <c r="H84" s="484">
        <f>H77+H78+H80+H81+H83</f>
        <v>1386.9010187185786</v>
      </c>
      <c r="I84" s="485"/>
      <c r="J84" s="486"/>
      <c r="K84" s="145"/>
      <c r="L84" s="145"/>
    </row>
    <row r="85" spans="1:12" ht="12" customHeight="1" thickBot="1" x14ac:dyDescent="0.3">
      <c r="E85" s="131"/>
      <c r="F85" s="131"/>
      <c r="G85" s="131"/>
      <c r="H85" s="161"/>
      <c r="I85" s="161"/>
      <c r="J85" s="161"/>
      <c r="K85" s="145"/>
      <c r="L85" s="145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722">
        <f>SUM(H84+H74+E67+H46+E37+E12)</f>
        <v>6474.3460472912147</v>
      </c>
      <c r="I86" s="723"/>
      <c r="J86" s="724"/>
      <c r="K86" s="145"/>
      <c r="L86" s="145"/>
    </row>
    <row r="87" spans="1:12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  <c r="K87" s="145"/>
      <c r="L87" s="145"/>
    </row>
    <row r="88" spans="1:12" x14ac:dyDescent="0.25">
      <c r="A88" s="145"/>
      <c r="B88" s="145"/>
      <c r="C88" s="145"/>
      <c r="D88" s="163">
        <v>3663.44</v>
      </c>
      <c r="E88" s="133"/>
      <c r="F88" s="133"/>
      <c r="G88" s="133"/>
      <c r="H88" s="145"/>
      <c r="I88" s="145"/>
      <c r="J88" s="145"/>
      <c r="K88" s="145"/>
      <c r="L88" s="145"/>
    </row>
    <row r="89" spans="1:12" x14ac:dyDescent="0.25">
      <c r="A89" s="145"/>
      <c r="B89" s="145"/>
      <c r="C89" s="145"/>
      <c r="D89" s="145"/>
      <c r="E89" s="133"/>
      <c r="F89" s="133"/>
      <c r="G89" s="133"/>
      <c r="H89" s="145"/>
      <c r="I89" s="145"/>
      <c r="J89" s="145"/>
      <c r="K89" s="145"/>
      <c r="L89" s="145"/>
    </row>
    <row r="90" spans="1:12" x14ac:dyDescent="0.25">
      <c r="A90" s="145"/>
      <c r="B90" s="145"/>
      <c r="C90" s="145"/>
      <c r="D90" s="145"/>
      <c r="E90" s="133"/>
      <c r="F90" s="133"/>
      <c r="G90" s="133"/>
      <c r="H90" s="145"/>
      <c r="I90" s="145"/>
      <c r="J90" s="145"/>
      <c r="K90" s="145"/>
      <c r="L90" s="145"/>
    </row>
    <row r="91" spans="1:12" x14ac:dyDescent="0.25">
      <c r="A91" s="145"/>
      <c r="B91" s="145"/>
      <c r="C91" s="145"/>
      <c r="D91" s="145"/>
      <c r="E91" s="133"/>
      <c r="F91" s="133"/>
      <c r="G91" s="133"/>
      <c r="H91" s="145"/>
      <c r="I91" s="145"/>
      <c r="J91" s="145"/>
      <c r="K91" s="145"/>
      <c r="L91" s="145"/>
    </row>
    <row r="92" spans="1:12" ht="15.75" thickBot="1" x14ac:dyDescent="0.3">
      <c r="A92" s="145"/>
      <c r="B92" s="145"/>
      <c r="C92" s="145"/>
      <c r="D92" s="145"/>
      <c r="E92" s="133"/>
      <c r="F92" s="133"/>
      <c r="G92" s="133"/>
      <c r="H92" s="145"/>
      <c r="I92" s="145"/>
      <c r="J92" s="145"/>
      <c r="K92" s="145"/>
      <c r="L92" s="145"/>
    </row>
  </sheetData>
  <mergeCells count="230">
    <mergeCell ref="A1:J1"/>
    <mergeCell ref="A46:G46"/>
    <mergeCell ref="A84:G84"/>
    <mergeCell ref="A74:G7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37" max="16383" man="1"/>
  </rowBreaks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2" tint="-0.49995422223578601"/>
  </sheetPr>
  <dimension ref="A1:L92"/>
  <sheetViews>
    <sheetView topLeftCell="A76" workbookViewId="0">
      <selection activeCell="C79" sqref="C79:D79"/>
    </sheetView>
  </sheetViews>
  <sheetFormatPr defaultRowHeight="15" x14ac:dyDescent="0.25"/>
  <cols>
    <col min="1" max="1" width="6.7109375" style="134" customWidth="1"/>
    <col min="2" max="2" width="3.28515625" style="134" customWidth="1"/>
    <col min="3" max="3" width="10.42578125" style="134" customWidth="1"/>
    <col min="4" max="4" width="40.28515625" style="134" customWidth="1"/>
    <col min="5" max="7" width="3.140625" style="116" customWidth="1"/>
    <col min="8" max="8" width="3" style="134" customWidth="1"/>
    <col min="9" max="9" width="5.7109375" style="134" hidden="1" customWidth="1"/>
    <col min="10" max="10" width="10.710937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191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45"/>
      <c r="L5" s="145"/>
    </row>
    <row r="6" spans="1:12" x14ac:dyDescent="0.25">
      <c r="A6" s="124" t="s">
        <v>2</v>
      </c>
      <c r="B6" s="606" t="s">
        <v>1</v>
      </c>
      <c r="C6" s="607"/>
      <c r="D6" s="608"/>
      <c r="E6" s="717">
        <v>1832.78</v>
      </c>
      <c r="F6" s="481"/>
      <c r="G6" s="481"/>
      <c r="H6" s="481"/>
      <c r="I6" s="481"/>
      <c r="J6" s="481"/>
      <c r="K6" s="145"/>
      <c r="L6" s="145"/>
    </row>
    <row r="7" spans="1:12" x14ac:dyDescent="0.25">
      <c r="A7" s="124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45"/>
      <c r="L7" s="145"/>
    </row>
    <row r="8" spans="1:12" x14ac:dyDescent="0.25">
      <c r="A8" s="124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45"/>
      <c r="L8" s="145"/>
    </row>
    <row r="9" spans="1:12" x14ac:dyDescent="0.25">
      <c r="A9" s="124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45"/>
      <c r="L9" s="145"/>
    </row>
    <row r="10" spans="1:12" x14ac:dyDescent="0.25">
      <c r="A10" s="124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45"/>
      <c r="L10" s="145"/>
    </row>
    <row r="11" spans="1:12" ht="30" customHeight="1" thickBot="1" x14ac:dyDescent="0.3">
      <c r="A11" s="125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45"/>
      <c r="L11" s="145"/>
    </row>
    <row r="12" spans="1:12" ht="15.75" thickBot="1" x14ac:dyDescent="0.3">
      <c r="A12" s="458" t="s">
        <v>330</v>
      </c>
      <c r="B12" s="459"/>
      <c r="C12" s="459"/>
      <c r="D12" s="460"/>
      <c r="E12" s="547">
        <f>SUM(E6:J11)</f>
        <v>1832.78</v>
      </c>
      <c r="F12" s="485"/>
      <c r="G12" s="485"/>
      <c r="H12" s="485"/>
      <c r="I12" s="485"/>
      <c r="J12" s="486"/>
      <c r="K12" s="145"/>
      <c r="L12" s="145"/>
    </row>
    <row r="13" spans="1:12" ht="30" customHeight="1" x14ac:dyDescent="0.25">
      <c r="A13" s="551" t="s">
        <v>29</v>
      </c>
      <c r="B13" s="715"/>
      <c r="C13" s="715"/>
      <c r="D13" s="716"/>
      <c r="E13" s="548">
        <f>E12*E30</f>
        <v>674.46304000000009</v>
      </c>
      <c r="F13" s="549"/>
      <c r="G13" s="549"/>
      <c r="H13" s="549"/>
      <c r="I13" s="549"/>
      <c r="J13" s="550"/>
      <c r="K13" s="145"/>
      <c r="L13" s="145"/>
    </row>
    <row r="14" spans="1:12" ht="9.7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45"/>
      <c r="L14" s="145"/>
    </row>
    <row r="15" spans="1:12" ht="26.25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367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4" t="s">
        <v>2</v>
      </c>
      <c r="B17" s="482" t="s">
        <v>34</v>
      </c>
      <c r="C17" s="521"/>
      <c r="D17" s="483"/>
      <c r="E17" s="322">
        <v>8.3299999999999999E-2</v>
      </c>
      <c r="F17" s="323"/>
      <c r="G17" s="324"/>
      <c r="H17" s="450">
        <f>E17*E12</f>
        <v>152.67057399999999</v>
      </c>
      <c r="I17" s="450"/>
      <c r="J17" s="450"/>
      <c r="K17" s="145"/>
      <c r="L17" s="145"/>
    </row>
    <row r="18" spans="1:12" x14ac:dyDescent="0.25">
      <c r="A18" s="124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221.76638</v>
      </c>
      <c r="I18" s="450"/>
      <c r="J18" s="450"/>
      <c r="K18" s="145"/>
      <c r="L18" s="145"/>
    </row>
    <row r="19" spans="1:12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374.43695400000001</v>
      </c>
      <c r="I19" s="525"/>
      <c r="J19" s="525"/>
      <c r="K19" s="145"/>
      <c r="L19" s="145"/>
    </row>
    <row r="20" spans="1:12" ht="35.25" customHeight="1" thickBot="1" x14ac:dyDescent="0.3">
      <c r="A20" s="124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143.323396</v>
      </c>
      <c r="I20" s="291"/>
      <c r="J20" s="292"/>
      <c r="K20" s="145"/>
      <c r="L20" s="145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441.44339080000003</v>
      </c>
      <c r="I22" s="450"/>
      <c r="J22" s="450"/>
      <c r="K22" s="145"/>
      <c r="L22" s="145"/>
    </row>
    <row r="23" spans="1:12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55.180423850000004</v>
      </c>
      <c r="I23" s="450"/>
      <c r="J23" s="450"/>
      <c r="K23" s="145"/>
      <c r="L23" s="145"/>
    </row>
    <row r="24" spans="1:12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66.216508619999999</v>
      </c>
      <c r="I24" s="450"/>
      <c r="J24" s="450"/>
      <c r="K24" s="145"/>
      <c r="L24" s="145"/>
    </row>
    <row r="25" spans="1:12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33.10825431</v>
      </c>
      <c r="I25" s="450"/>
      <c r="J25" s="450"/>
      <c r="K25" s="145"/>
      <c r="L25" s="145"/>
    </row>
    <row r="26" spans="1:12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22.072169540000001</v>
      </c>
      <c r="I26" s="450"/>
      <c r="J26" s="450"/>
      <c r="K26" s="145"/>
      <c r="L26" s="145"/>
    </row>
    <row r="27" spans="1:12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13.243301724</v>
      </c>
      <c r="I27" s="450"/>
      <c r="J27" s="450"/>
      <c r="K27" s="145"/>
      <c r="L27" s="145"/>
    </row>
    <row r="28" spans="1:12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4.4144339080000004</v>
      </c>
      <c r="I28" s="450"/>
      <c r="J28" s="450"/>
      <c r="K28" s="145"/>
      <c r="L28" s="145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176.57735632000001</v>
      </c>
      <c r="I29" s="450"/>
      <c r="J29" s="450"/>
      <c r="K29" s="145"/>
      <c r="L29" s="145"/>
    </row>
    <row r="30" spans="1:12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812.25583907200007</v>
      </c>
      <c r="I30" s="592"/>
      <c r="J30" s="592"/>
      <c r="K30" s="145"/>
      <c r="L30" s="145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(3.9*2*25.5)-6%*E6</f>
        <v>88.933200000000014</v>
      </c>
      <c r="I32" s="450"/>
      <c r="J32" s="450"/>
      <c r="K32" s="145"/>
      <c r="L32" s="145"/>
    </row>
    <row r="33" spans="1:12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v>0</v>
      </c>
      <c r="I33" s="450"/>
      <c r="J33" s="450"/>
      <c r="K33" s="145"/>
      <c r="L33" s="145"/>
    </row>
    <row r="34" spans="1:12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0</v>
      </c>
      <c r="I34" s="450"/>
      <c r="J34" s="450"/>
      <c r="K34" s="145"/>
      <c r="L34" s="145"/>
    </row>
    <row r="35" spans="1:12" x14ac:dyDescent="0.25">
      <c r="A35" s="482" t="s">
        <v>9</v>
      </c>
      <c r="B35" s="483"/>
      <c r="C35" s="478" t="s">
        <v>28</v>
      </c>
      <c r="D35" s="479"/>
      <c r="E35" s="497"/>
      <c r="F35" s="497"/>
      <c r="G35" s="497"/>
      <c r="H35" s="450">
        <v>25.9</v>
      </c>
      <c r="I35" s="450"/>
      <c r="J35" s="450"/>
      <c r="K35" s="145"/>
      <c r="L35" s="145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114.83320000000001</v>
      </c>
      <c r="I36" s="451"/>
      <c r="J36" s="451"/>
      <c r="K36" s="145"/>
      <c r="L36" s="145"/>
    </row>
    <row r="37" spans="1:12" ht="15.75" thickBot="1" x14ac:dyDescent="0.3">
      <c r="A37" s="554" t="s">
        <v>72</v>
      </c>
      <c r="B37" s="555"/>
      <c r="C37" s="555"/>
      <c r="D37" s="853"/>
      <c r="E37" s="854">
        <f>H19+H30+H36</f>
        <v>1301.5259930720001</v>
      </c>
      <c r="F37" s="855"/>
      <c r="G37" s="855"/>
      <c r="H37" s="855"/>
      <c r="I37" s="855"/>
      <c r="J37" s="856"/>
      <c r="K37" s="145"/>
      <c r="L37" s="145"/>
    </row>
    <row r="38" spans="1:12" ht="10.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45"/>
      <c r="L38" s="145"/>
    </row>
    <row r="39" spans="1:12" ht="27" customHeight="1" thickBot="1" x14ac:dyDescent="0.3">
      <c r="A39" s="494" t="s">
        <v>131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2" t="s">
        <v>2</v>
      </c>
      <c r="B40" s="453"/>
      <c r="C40" s="452" t="s">
        <v>51</v>
      </c>
      <c r="D40" s="453"/>
      <c r="E40" s="128"/>
      <c r="F40" s="129"/>
      <c r="G40" s="130"/>
      <c r="H40" s="456">
        <f>E12/12*5%</f>
        <v>7.6365833333333333</v>
      </c>
      <c r="I40" s="457"/>
      <c r="J40" s="453"/>
      <c r="K40" s="145"/>
      <c r="L40" s="145"/>
    </row>
    <row r="41" spans="1:12" x14ac:dyDescent="0.25">
      <c r="A41" s="452" t="s">
        <v>7</v>
      </c>
      <c r="B41" s="453"/>
      <c r="C41" s="452" t="s">
        <v>52</v>
      </c>
      <c r="D41" s="453"/>
      <c r="E41" s="128"/>
      <c r="F41" s="129"/>
      <c r="G41" s="130"/>
      <c r="H41" s="456">
        <f>H40*8%</f>
        <v>0.61092666666666673</v>
      </c>
      <c r="I41" s="457"/>
      <c r="J41" s="453"/>
      <c r="K41" s="145"/>
      <c r="L41" s="145"/>
    </row>
    <row r="42" spans="1:12" ht="33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45"/>
      <c r="L42" s="145"/>
    </row>
    <row r="43" spans="1:12" x14ac:dyDescent="0.25">
      <c r="A43" s="481" t="s">
        <v>9</v>
      </c>
      <c r="B43" s="481"/>
      <c r="C43" s="482" t="s">
        <v>54</v>
      </c>
      <c r="D43" s="483"/>
      <c r="E43" s="497"/>
      <c r="F43" s="497"/>
      <c r="G43" s="497"/>
      <c r="H43" s="450">
        <f>E12/30/12*7*100%</f>
        <v>35.637388888888886</v>
      </c>
      <c r="I43" s="450"/>
      <c r="J43" s="450"/>
      <c r="K43" s="145"/>
      <c r="L43" s="145"/>
    </row>
    <row r="44" spans="1:12" ht="30" customHeight="1" x14ac:dyDescent="0.25">
      <c r="A44" s="481" t="s">
        <v>10</v>
      </c>
      <c r="B44" s="481"/>
      <c r="C44" s="478" t="s">
        <v>83</v>
      </c>
      <c r="D44" s="479"/>
      <c r="E44" s="497"/>
      <c r="F44" s="497"/>
      <c r="G44" s="497"/>
      <c r="H44" s="450">
        <f>H43*39.8%</f>
        <v>14.183680777777775</v>
      </c>
      <c r="I44" s="450"/>
      <c r="J44" s="450"/>
      <c r="K44" s="145"/>
      <c r="L44" s="145"/>
    </row>
    <row r="45" spans="1:12" ht="31.5" customHeight="1" thickBot="1" x14ac:dyDescent="0.3">
      <c r="A45" s="473" t="s">
        <v>11</v>
      </c>
      <c r="B45" s="474"/>
      <c r="C45" s="834" t="s">
        <v>53</v>
      </c>
      <c r="D45" s="835"/>
      <c r="E45" s="836"/>
      <c r="F45" s="837"/>
      <c r="G45" s="838"/>
      <c r="H45" s="470">
        <f>E12*5%</f>
        <v>91.63900000000001</v>
      </c>
      <c r="I45" s="471"/>
      <c r="J45" s="472"/>
      <c r="K45" s="145"/>
      <c r="L45" s="145"/>
    </row>
    <row r="46" spans="1:12" ht="15.75" thickBot="1" x14ac:dyDescent="0.3">
      <c r="A46" s="857" t="s">
        <v>333</v>
      </c>
      <c r="B46" s="858"/>
      <c r="C46" s="858"/>
      <c r="D46" s="858"/>
      <c r="E46" s="858"/>
      <c r="F46" s="858"/>
      <c r="G46" s="858"/>
      <c r="H46" s="624">
        <f>SUM(H40:J45)</f>
        <v>149.70757966666667</v>
      </c>
      <c r="I46" s="625"/>
      <c r="J46" s="626"/>
      <c r="K46" s="145"/>
      <c r="L46" s="145"/>
    </row>
    <row r="47" spans="1:12" ht="10.5" customHeight="1" thickBot="1" x14ac:dyDescent="0.3">
      <c r="E47" s="131"/>
      <c r="F47" s="131"/>
      <c r="G47" s="131"/>
      <c r="H47" s="161"/>
      <c r="I47" s="161"/>
      <c r="J47" s="161"/>
      <c r="K47" s="145"/>
      <c r="L47" s="145"/>
    </row>
    <row r="48" spans="1:12" ht="33" customHeight="1" thickBot="1" x14ac:dyDescent="0.3">
      <c r="A48" s="494" t="s">
        <v>368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2" t="s">
        <v>2</v>
      </c>
      <c r="B49" s="453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45"/>
      <c r="L49" s="145"/>
    </row>
    <row r="50" spans="1:12" x14ac:dyDescent="0.25">
      <c r="A50" s="452" t="s">
        <v>7</v>
      </c>
      <c r="B50" s="453"/>
      <c r="C50" s="452" t="s">
        <v>57</v>
      </c>
      <c r="D50" s="453"/>
      <c r="E50" s="128"/>
      <c r="F50" s="129"/>
      <c r="G50" s="130"/>
      <c r="H50" s="456">
        <f>E12/30/12</f>
        <v>5.0910555555555552</v>
      </c>
      <c r="I50" s="457"/>
      <c r="J50" s="453"/>
      <c r="K50" s="145"/>
      <c r="L50" s="145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0.38182916666666666</v>
      </c>
      <c r="I51" s="450"/>
      <c r="J51" s="450"/>
      <c r="K51" s="145"/>
      <c r="L51" s="145"/>
    </row>
    <row r="52" spans="1:12" x14ac:dyDescent="0.25">
      <c r="A52" s="481" t="s">
        <v>9</v>
      </c>
      <c r="B52" s="481"/>
      <c r="C52" s="284" t="s">
        <v>59</v>
      </c>
      <c r="D52" s="286"/>
      <c r="E52" s="497"/>
      <c r="F52" s="497"/>
      <c r="G52" s="497"/>
      <c r="H52" s="450">
        <f>E12/30/12*15*8%</f>
        <v>6.1092666666666666</v>
      </c>
      <c r="I52" s="450"/>
      <c r="J52" s="450"/>
      <c r="K52" s="145"/>
      <c r="L52" s="145"/>
    </row>
    <row r="53" spans="1:12" x14ac:dyDescent="0.25">
      <c r="A53" s="481" t="s">
        <v>10</v>
      </c>
      <c r="B53" s="481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45"/>
      <c r="L53" s="145"/>
    </row>
    <row r="54" spans="1:12" x14ac:dyDescent="0.25">
      <c r="A54" s="481" t="s">
        <v>11</v>
      </c>
      <c r="B54" s="481"/>
      <c r="C54" s="478" t="s">
        <v>61</v>
      </c>
      <c r="D54" s="479"/>
      <c r="E54" s="497"/>
      <c r="F54" s="497"/>
      <c r="G54" s="497"/>
      <c r="H54" s="450">
        <f>E12/30/12*5*40%</f>
        <v>10.182111111111112</v>
      </c>
      <c r="I54" s="450"/>
      <c r="J54" s="450"/>
      <c r="K54" s="145"/>
      <c r="L54" s="145"/>
    </row>
    <row r="55" spans="1:12" ht="31.5" customHeight="1" x14ac:dyDescent="0.25">
      <c r="A55" s="481" t="s">
        <v>39</v>
      </c>
      <c r="B55" s="481"/>
      <c r="C55" s="478" t="s">
        <v>62</v>
      </c>
      <c r="D55" s="479"/>
      <c r="E55" s="497"/>
      <c r="F55" s="497"/>
      <c r="G55" s="497"/>
      <c r="H55" s="450">
        <f>SUM(H49:J54)*39.8%</f>
        <v>8.6638623366666661</v>
      </c>
      <c r="I55" s="450"/>
      <c r="J55" s="450"/>
      <c r="K55" s="145"/>
      <c r="L55" s="145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30.432360670000001</v>
      </c>
      <c r="I56" s="592"/>
      <c r="J56" s="592"/>
      <c r="K56" s="145"/>
      <c r="L56" s="145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1.5" customHeight="1" x14ac:dyDescent="0.25">
      <c r="A58" s="452" t="s">
        <v>2</v>
      </c>
      <c r="B58" s="453"/>
      <c r="C58" s="454" t="s">
        <v>64</v>
      </c>
      <c r="D58" s="455"/>
      <c r="E58" s="128"/>
      <c r="F58" s="129"/>
      <c r="G58" s="130"/>
      <c r="H58" s="456">
        <f>((((E12+(E12/3))*0.3333)/12)*2%)</f>
        <v>1.3574790533333332</v>
      </c>
      <c r="I58" s="457"/>
      <c r="J58" s="453"/>
      <c r="K58" s="145"/>
      <c r="L58" s="145"/>
    </row>
    <row r="59" spans="1:12" ht="42.75" customHeight="1" x14ac:dyDescent="0.25">
      <c r="A59" s="452" t="s">
        <v>7</v>
      </c>
      <c r="B59" s="453"/>
      <c r="C59" s="454" t="s">
        <v>65</v>
      </c>
      <c r="D59" s="455"/>
      <c r="E59" s="128"/>
      <c r="F59" s="129"/>
      <c r="G59" s="130"/>
      <c r="H59" s="456">
        <f>H58*39.8%</f>
        <v>0.54027666322666656</v>
      </c>
      <c r="I59" s="457"/>
      <c r="J59" s="453"/>
      <c r="K59" s="145"/>
      <c r="L59" s="145"/>
    </row>
    <row r="60" spans="1:12" ht="44.2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5.2627941274903201</v>
      </c>
      <c r="I60" s="450"/>
      <c r="J60" s="450"/>
      <c r="K60" s="145"/>
      <c r="L60" s="145"/>
    </row>
    <row r="61" spans="1:12" x14ac:dyDescent="0.25">
      <c r="A61" s="481" t="s">
        <v>9</v>
      </c>
      <c r="B61" s="481"/>
      <c r="C61" s="482" t="s">
        <v>67</v>
      </c>
      <c r="D61" s="483"/>
      <c r="E61" s="497"/>
      <c r="F61" s="497"/>
      <c r="G61" s="497"/>
      <c r="H61" s="450"/>
      <c r="I61" s="450"/>
      <c r="J61" s="450"/>
      <c r="K61" s="145"/>
      <c r="L61" s="145"/>
    </row>
    <row r="62" spans="1:12" ht="13.5" customHeight="1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7.1605498440503199</v>
      </c>
      <c r="I62" s="592"/>
      <c r="J62" s="592"/>
      <c r="K62" s="145"/>
      <c r="L62" s="145"/>
    </row>
    <row r="63" spans="1:12" ht="15.75" thickBot="1" x14ac:dyDescent="0.3">
      <c r="A63" s="507" t="s">
        <v>132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0" customHeight="1" x14ac:dyDescent="0.25">
      <c r="A64" s="452" t="s">
        <v>2</v>
      </c>
      <c r="B64" s="453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45"/>
      <c r="L64" s="145"/>
    </row>
    <row r="65" spans="1:12" ht="31.5" customHeight="1" x14ac:dyDescent="0.25">
      <c r="A65" s="452" t="s">
        <v>7</v>
      </c>
      <c r="B65" s="453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45"/>
      <c r="L65" s="145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45"/>
      <c r="L66" s="145"/>
    </row>
    <row r="67" spans="1:12" ht="15.75" thickBot="1" x14ac:dyDescent="0.3">
      <c r="A67" s="458" t="s">
        <v>71</v>
      </c>
      <c r="B67" s="459"/>
      <c r="C67" s="459"/>
      <c r="D67" s="725"/>
      <c r="E67" s="587">
        <f>H66+H62+H56</f>
        <v>37.593035803742325</v>
      </c>
      <c r="F67" s="498"/>
      <c r="G67" s="498"/>
      <c r="H67" s="498"/>
      <c r="I67" s="498"/>
      <c r="J67" s="499"/>
      <c r="K67" s="145"/>
      <c r="L67" s="145"/>
    </row>
    <row r="68" spans="1:12" ht="10.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45"/>
      <c r="L68" s="145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2" t="s">
        <v>2</v>
      </c>
      <c r="B70" s="453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45"/>
      <c r="L70" s="145"/>
    </row>
    <row r="71" spans="1:12" x14ac:dyDescent="0.25">
      <c r="A71" s="452" t="s">
        <v>7</v>
      </c>
      <c r="B71" s="453"/>
      <c r="C71" s="452" t="s">
        <v>75</v>
      </c>
      <c r="D71" s="453"/>
      <c r="E71" s="128"/>
      <c r="F71" s="129"/>
      <c r="G71" s="130"/>
      <c r="H71" s="456"/>
      <c r="I71" s="457"/>
      <c r="J71" s="453"/>
      <c r="K71" s="145"/>
      <c r="L71" s="145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15</v>
      </c>
      <c r="I72" s="450"/>
      <c r="J72" s="450"/>
      <c r="K72" s="145"/>
      <c r="L72" s="145"/>
    </row>
    <row r="73" spans="1:12" ht="15.75" thickBot="1" x14ac:dyDescent="0.3">
      <c r="A73" s="477" t="s">
        <v>9</v>
      </c>
      <c r="B73" s="477"/>
      <c r="C73" s="473" t="s">
        <v>28</v>
      </c>
      <c r="D73" s="474"/>
      <c r="E73" s="842"/>
      <c r="F73" s="842"/>
      <c r="G73" s="842"/>
      <c r="H73" s="449">
        <v>4.5</v>
      </c>
      <c r="I73" s="449"/>
      <c r="J73" s="449"/>
      <c r="K73" s="145"/>
      <c r="L73" s="145"/>
    </row>
    <row r="74" spans="1:12" ht="15.75" thickBot="1" x14ac:dyDescent="0.3">
      <c r="A74" s="570" t="s">
        <v>336</v>
      </c>
      <c r="B74" s="571"/>
      <c r="C74" s="571"/>
      <c r="D74" s="571"/>
      <c r="E74" s="571"/>
      <c r="F74" s="571"/>
      <c r="G74" s="571"/>
      <c r="H74" s="547">
        <f>SUM(H70:J73)</f>
        <v>219.5</v>
      </c>
      <c r="I74" s="485"/>
      <c r="J74" s="486"/>
      <c r="K74" s="145"/>
      <c r="L74" s="145"/>
    </row>
    <row r="75" spans="1:12" ht="9" customHeight="1" thickBot="1" x14ac:dyDescent="0.3">
      <c r="E75" s="131"/>
      <c r="F75" s="131"/>
      <c r="G75" s="131"/>
      <c r="H75" s="161"/>
      <c r="I75" s="161"/>
      <c r="J75" s="161"/>
      <c r="K75" s="145"/>
      <c r="L75" s="145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2" t="s">
        <v>2</v>
      </c>
      <c r="B77" s="453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247.87746259796864</v>
      </c>
      <c r="I77" s="457"/>
      <c r="J77" s="453"/>
      <c r="K77" s="145"/>
      <c r="L77" s="145"/>
    </row>
    <row r="78" spans="1:12" x14ac:dyDescent="0.25">
      <c r="A78" s="452" t="s">
        <v>7</v>
      </c>
      <c r="B78" s="453"/>
      <c r="C78" s="452" t="s">
        <v>12</v>
      </c>
      <c r="D78" s="453"/>
      <c r="E78" s="843">
        <v>9.9999049397341402E-2</v>
      </c>
      <c r="F78" s="840"/>
      <c r="G78" s="841"/>
      <c r="H78" s="456">
        <f>E78*(H74+E67+H46+E37+E12)</f>
        <v>354.10729466888444</v>
      </c>
      <c r="I78" s="457"/>
      <c r="J78" s="453"/>
      <c r="K78" s="145"/>
      <c r="L78" s="145"/>
    </row>
    <row r="79" spans="1:12" x14ac:dyDescent="0.25">
      <c r="A79" s="318" t="s">
        <v>8</v>
      </c>
      <c r="B79" s="319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4129.5703889707393</v>
      </c>
      <c r="I79" s="450"/>
      <c r="J79" s="450"/>
      <c r="K79" s="145"/>
      <c r="L79" s="145"/>
    </row>
    <row r="80" spans="1:12" x14ac:dyDescent="0.25">
      <c r="A80" s="481" t="s">
        <v>9</v>
      </c>
      <c r="B80" s="481"/>
      <c r="C80" s="482" t="s">
        <v>79</v>
      </c>
      <c r="D80" s="483"/>
      <c r="E80" s="497">
        <v>1.6500000000000001E-2</v>
      </c>
      <c r="F80" s="497"/>
      <c r="G80" s="497"/>
      <c r="H80" s="450">
        <f>E80*D88</f>
        <v>60.446760000000005</v>
      </c>
      <c r="I80" s="450"/>
      <c r="J80" s="450"/>
      <c r="K80" s="145"/>
      <c r="L80" s="145"/>
    </row>
    <row r="81" spans="1:12" x14ac:dyDescent="0.25">
      <c r="A81" s="481" t="s">
        <v>9</v>
      </c>
      <c r="B81" s="481"/>
      <c r="C81" s="482" t="s">
        <v>80</v>
      </c>
      <c r="D81" s="483"/>
      <c r="E81" s="497">
        <v>7.5999999999999998E-2</v>
      </c>
      <c r="F81" s="497"/>
      <c r="G81" s="497"/>
      <c r="H81" s="450">
        <f>E81*D88</f>
        <v>278.42144000000002</v>
      </c>
      <c r="I81" s="450"/>
      <c r="J81" s="450"/>
      <c r="K81" s="145"/>
      <c r="L81" s="145"/>
    </row>
    <row r="82" spans="1:12" x14ac:dyDescent="0.25">
      <c r="A82" s="481" t="s">
        <v>10</v>
      </c>
      <c r="B82" s="481"/>
      <c r="C82" s="482" t="s">
        <v>81</v>
      </c>
      <c r="D82" s="483"/>
      <c r="E82" s="497"/>
      <c r="F82" s="497"/>
      <c r="G82" s="497"/>
      <c r="H82" s="450"/>
      <c r="I82" s="450"/>
      <c r="J82" s="450"/>
      <c r="K82" s="145"/>
      <c r="L82" s="145"/>
    </row>
    <row r="83" spans="1:12" ht="15.75" thickBot="1" x14ac:dyDescent="0.3">
      <c r="A83" s="477" t="s">
        <v>11</v>
      </c>
      <c r="B83" s="477"/>
      <c r="C83" s="473" t="s">
        <v>82</v>
      </c>
      <c r="D83" s="474"/>
      <c r="E83" s="842">
        <v>0.05</v>
      </c>
      <c r="F83" s="842"/>
      <c r="G83" s="842"/>
      <c r="H83" s="449">
        <f>E83*D88</f>
        <v>183.17200000000003</v>
      </c>
      <c r="I83" s="449"/>
      <c r="J83" s="449"/>
      <c r="K83" s="145"/>
      <c r="L83" s="145"/>
    </row>
    <row r="84" spans="1:12" ht="15.75" thickBot="1" x14ac:dyDescent="0.3">
      <c r="A84" s="570" t="s">
        <v>340</v>
      </c>
      <c r="B84" s="571"/>
      <c r="C84" s="571"/>
      <c r="D84" s="571"/>
      <c r="E84" s="571"/>
      <c r="F84" s="571"/>
      <c r="G84" s="572"/>
      <c r="H84" s="484">
        <f>H77+H78+H80+H81+H83</f>
        <v>1124.0249572668531</v>
      </c>
      <c r="I84" s="485"/>
      <c r="J84" s="486"/>
      <c r="K84" s="145"/>
      <c r="L84" s="145"/>
    </row>
    <row r="85" spans="1:12" ht="10.5" customHeight="1" thickBot="1" x14ac:dyDescent="0.3">
      <c r="E85" s="131"/>
      <c r="F85" s="131"/>
      <c r="G85" s="131"/>
      <c r="H85" s="161"/>
      <c r="I85" s="161"/>
      <c r="J85" s="161"/>
      <c r="K85" s="145"/>
      <c r="L85" s="145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2"/>
      <c r="H86" s="859">
        <f>SUM(H84+H74+E67+H46+E37+E12)</f>
        <v>4665.1315658092617</v>
      </c>
      <c r="I86" s="860"/>
      <c r="J86" s="861"/>
      <c r="K86" s="145"/>
      <c r="L86" s="145"/>
    </row>
    <row r="87" spans="1:12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  <c r="K87" s="145"/>
      <c r="L87" s="145"/>
    </row>
    <row r="88" spans="1:12" x14ac:dyDescent="0.25">
      <c r="A88" s="145"/>
      <c r="B88" s="145"/>
      <c r="C88" s="145"/>
      <c r="D88" s="163">
        <v>3663.44</v>
      </c>
      <c r="E88" s="133"/>
      <c r="F88" s="133"/>
      <c r="G88" s="133"/>
      <c r="H88" s="145"/>
      <c r="I88" s="145"/>
      <c r="J88" s="145"/>
      <c r="K88" s="145"/>
      <c r="L88" s="145"/>
    </row>
    <row r="89" spans="1:12" x14ac:dyDescent="0.25">
      <c r="A89" s="145"/>
      <c r="B89" s="145"/>
      <c r="C89" s="145"/>
      <c r="D89" s="145"/>
      <c r="E89" s="133"/>
      <c r="F89" s="133"/>
      <c r="G89" s="133"/>
      <c r="H89" s="145"/>
      <c r="I89" s="145"/>
      <c r="J89" s="145"/>
      <c r="K89" s="145"/>
      <c r="L89" s="145"/>
    </row>
    <row r="90" spans="1:12" x14ac:dyDescent="0.25">
      <c r="A90" s="145"/>
      <c r="B90" s="145"/>
      <c r="C90" s="145"/>
      <c r="D90" s="145"/>
      <c r="E90" s="133"/>
      <c r="F90" s="133"/>
      <c r="G90" s="133"/>
      <c r="H90" s="145"/>
      <c r="I90" s="145"/>
      <c r="J90" s="145"/>
      <c r="K90" s="145"/>
      <c r="L90" s="145"/>
    </row>
    <row r="91" spans="1:12" x14ac:dyDescent="0.25">
      <c r="A91" s="145"/>
      <c r="B91" s="145"/>
      <c r="C91" s="145"/>
      <c r="D91" s="145"/>
      <c r="E91" s="133"/>
      <c r="F91" s="133"/>
      <c r="G91" s="133"/>
      <c r="H91" s="145"/>
      <c r="I91" s="145"/>
      <c r="J91" s="145"/>
      <c r="K91" s="145"/>
      <c r="L91" s="145"/>
    </row>
    <row r="92" spans="1:12" ht="15.75" thickBot="1" x14ac:dyDescent="0.3">
      <c r="A92" s="145"/>
      <c r="B92" s="145"/>
      <c r="C92" s="145"/>
      <c r="D92" s="145"/>
      <c r="E92" s="133"/>
      <c r="F92" s="133"/>
      <c r="G92" s="133"/>
      <c r="H92" s="145"/>
      <c r="I92" s="145"/>
      <c r="J92" s="145"/>
      <c r="K92" s="145"/>
      <c r="L92" s="145"/>
    </row>
  </sheetData>
  <mergeCells count="230">
    <mergeCell ref="A1:J1"/>
    <mergeCell ref="A46:G46"/>
    <mergeCell ref="A74:G74"/>
    <mergeCell ref="A84:G8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4659260841701"/>
  </sheetPr>
  <dimension ref="A1:L89"/>
  <sheetViews>
    <sheetView topLeftCell="A34" workbookViewId="0">
      <selection activeCell="D89" sqref="D89"/>
    </sheetView>
  </sheetViews>
  <sheetFormatPr defaultRowHeight="15" x14ac:dyDescent="0.25"/>
  <cols>
    <col min="1" max="1" width="6.7109375" style="134" customWidth="1"/>
    <col min="2" max="2" width="3.140625" style="134" customWidth="1"/>
    <col min="3" max="3" width="12.42578125" style="134" customWidth="1"/>
    <col min="4" max="4" width="40.140625" style="134" customWidth="1"/>
    <col min="5" max="7" width="3" style="116" customWidth="1"/>
    <col min="8" max="8" width="3.28515625" style="134" customWidth="1"/>
    <col min="9" max="9" width="4.7109375" style="134" customWidth="1"/>
    <col min="10" max="10" width="4.2851562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369</v>
      </c>
      <c r="E2" s="738"/>
      <c r="F2" s="738"/>
      <c r="G2" s="738"/>
      <c r="H2" s="738"/>
      <c r="I2" s="738"/>
      <c r="J2" s="739"/>
      <c r="K2" s="136"/>
    </row>
    <row r="3" spans="1:12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33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124" t="s">
        <v>2</v>
      </c>
      <c r="B5" s="606" t="s">
        <v>1</v>
      </c>
      <c r="C5" s="607"/>
      <c r="D5" s="608"/>
      <c r="E5" s="717">
        <v>1054</v>
      </c>
      <c r="F5" s="481"/>
      <c r="G5" s="481"/>
      <c r="H5" s="481"/>
      <c r="I5" s="481"/>
      <c r="J5" s="481"/>
      <c r="K5" s="136"/>
      <c r="L5" s="136"/>
    </row>
    <row r="6" spans="1:12" x14ac:dyDescent="0.25">
      <c r="A6" s="124" t="s">
        <v>7</v>
      </c>
      <c r="B6" s="606" t="s">
        <v>25</v>
      </c>
      <c r="C6" s="607"/>
      <c r="D6" s="608"/>
      <c r="E6" s="541"/>
      <c r="F6" s="542"/>
      <c r="G6" s="542"/>
      <c r="H6" s="542"/>
      <c r="I6" s="542"/>
      <c r="J6" s="543"/>
      <c r="K6" s="136"/>
      <c r="L6" s="136"/>
    </row>
    <row r="7" spans="1:12" x14ac:dyDescent="0.25">
      <c r="A7" s="124" t="s">
        <v>8</v>
      </c>
      <c r="B7" s="606" t="s">
        <v>26</v>
      </c>
      <c r="C7" s="607"/>
      <c r="D7" s="608"/>
      <c r="E7" s="541"/>
      <c r="F7" s="542"/>
      <c r="G7" s="542"/>
      <c r="H7" s="542"/>
      <c r="I7" s="542"/>
      <c r="J7" s="543"/>
      <c r="K7" s="136"/>
      <c r="L7" s="136"/>
    </row>
    <row r="8" spans="1:12" x14ac:dyDescent="0.25">
      <c r="A8" s="124" t="s">
        <v>9</v>
      </c>
      <c r="B8" s="606" t="s">
        <v>27</v>
      </c>
      <c r="C8" s="607"/>
      <c r="D8" s="608"/>
      <c r="E8" s="541"/>
      <c r="F8" s="542"/>
      <c r="G8" s="542"/>
      <c r="H8" s="542"/>
      <c r="I8" s="542"/>
      <c r="J8" s="543"/>
      <c r="K8" s="136"/>
      <c r="L8" s="136"/>
    </row>
    <row r="9" spans="1:12" x14ac:dyDescent="0.25">
      <c r="A9" s="124" t="s">
        <v>10</v>
      </c>
      <c r="B9" s="606" t="s">
        <v>28</v>
      </c>
      <c r="C9" s="607"/>
      <c r="D9" s="608"/>
      <c r="E9" s="480"/>
      <c r="F9" s="480"/>
      <c r="G9" s="480"/>
      <c r="H9" s="480"/>
      <c r="I9" s="480"/>
      <c r="J9" s="480"/>
      <c r="K9" s="136"/>
      <c r="L9" s="136"/>
    </row>
    <row r="10" spans="1:12" ht="26.25" customHeight="1" thickBot="1" x14ac:dyDescent="0.3">
      <c r="A10" s="125" t="s">
        <v>11</v>
      </c>
      <c r="B10" s="609" t="s">
        <v>92</v>
      </c>
      <c r="C10" s="610"/>
      <c r="D10" s="611"/>
      <c r="E10" s="477"/>
      <c r="F10" s="477"/>
      <c r="G10" s="477"/>
      <c r="H10" s="477"/>
      <c r="I10" s="477"/>
      <c r="J10" s="477"/>
      <c r="K10" s="136"/>
      <c r="L10" s="136"/>
    </row>
    <row r="11" spans="1:12" ht="15.75" thickBot="1" x14ac:dyDescent="0.3">
      <c r="A11" s="458" t="s">
        <v>330</v>
      </c>
      <c r="B11" s="459"/>
      <c r="C11" s="459"/>
      <c r="D11" s="725"/>
      <c r="E11" s="547">
        <f>SUM(E5:J10)</f>
        <v>1054</v>
      </c>
      <c r="F11" s="485"/>
      <c r="G11" s="485"/>
      <c r="H11" s="485"/>
      <c r="I11" s="485"/>
      <c r="J11" s="486"/>
      <c r="K11" s="136"/>
      <c r="L11" s="136"/>
    </row>
    <row r="12" spans="1:12" ht="29.25" customHeight="1" x14ac:dyDescent="0.25">
      <c r="A12" s="551" t="s">
        <v>29</v>
      </c>
      <c r="B12" s="715"/>
      <c r="C12" s="715"/>
      <c r="D12" s="716"/>
      <c r="E12" s="548">
        <f>E11*E29</f>
        <v>387.87200000000007</v>
      </c>
      <c r="F12" s="549"/>
      <c r="G12" s="549"/>
      <c r="H12" s="549"/>
      <c r="I12" s="549"/>
      <c r="J12" s="550"/>
      <c r="K12" s="136"/>
      <c r="L12" s="136"/>
    </row>
    <row r="13" spans="1:12" ht="9" customHeight="1" thickBot="1" x14ac:dyDescent="0.3">
      <c r="A13" s="483"/>
      <c r="B13" s="481"/>
      <c r="C13" s="481"/>
      <c r="D13" s="481"/>
      <c r="E13" s="481"/>
      <c r="F13" s="481"/>
      <c r="G13" s="481"/>
      <c r="H13" s="481"/>
      <c r="I13" s="481"/>
      <c r="J13" s="482"/>
      <c r="K13" s="136"/>
      <c r="L13" s="136"/>
    </row>
    <row r="14" spans="1:12" ht="27" customHeight="1" thickBot="1" x14ac:dyDescent="0.3">
      <c r="A14" s="494" t="s">
        <v>32</v>
      </c>
      <c r="B14" s="495"/>
      <c r="C14" s="495"/>
      <c r="D14" s="495"/>
      <c r="E14" s="495"/>
      <c r="F14" s="495"/>
      <c r="G14" s="495"/>
      <c r="H14" s="495"/>
      <c r="I14" s="495"/>
      <c r="J14" s="496"/>
      <c r="K14" s="136"/>
    </row>
    <row r="15" spans="1:12" ht="30" customHeight="1" thickBot="1" x14ac:dyDescent="0.3">
      <c r="A15" s="507" t="s">
        <v>370</v>
      </c>
      <c r="B15" s="508"/>
      <c r="C15" s="508"/>
      <c r="D15" s="508"/>
      <c r="E15" s="508"/>
      <c r="F15" s="508"/>
      <c r="G15" s="508"/>
      <c r="H15" s="508"/>
      <c r="I15" s="508"/>
      <c r="J15" s="509"/>
      <c r="K15" s="136"/>
    </row>
    <row r="16" spans="1:12" x14ac:dyDescent="0.25">
      <c r="A16" s="124" t="s">
        <v>2</v>
      </c>
      <c r="B16" s="482" t="s">
        <v>34</v>
      </c>
      <c r="C16" s="521"/>
      <c r="D16" s="483"/>
      <c r="E16" s="322">
        <v>8.3299999999999999E-2</v>
      </c>
      <c r="F16" s="323"/>
      <c r="G16" s="324"/>
      <c r="H16" s="450">
        <f>E16*E11</f>
        <v>87.798199999999994</v>
      </c>
      <c r="I16" s="450"/>
      <c r="J16" s="450"/>
      <c r="K16" s="136"/>
      <c r="L16" s="136"/>
    </row>
    <row r="17" spans="1:12" x14ac:dyDescent="0.25">
      <c r="A17" s="124" t="s">
        <v>7</v>
      </c>
      <c r="B17" s="482" t="s">
        <v>35</v>
      </c>
      <c r="C17" s="521"/>
      <c r="D17" s="483"/>
      <c r="E17" s="529">
        <v>0.121</v>
      </c>
      <c r="F17" s="530"/>
      <c r="G17" s="531"/>
      <c r="H17" s="450">
        <f>E17*E11</f>
        <v>127.53399999999999</v>
      </c>
      <c r="I17" s="450"/>
      <c r="J17" s="450"/>
      <c r="K17" s="136"/>
      <c r="L17" s="136"/>
    </row>
    <row r="18" spans="1:12" x14ac:dyDescent="0.25">
      <c r="A18" s="522" t="s">
        <v>36</v>
      </c>
      <c r="B18" s="523"/>
      <c r="C18" s="523"/>
      <c r="D18" s="523"/>
      <c r="E18" s="523"/>
      <c r="F18" s="523"/>
      <c r="G18" s="524"/>
      <c r="H18" s="525">
        <f>SUM(H16:J17)</f>
        <v>215.3322</v>
      </c>
      <c r="I18" s="525"/>
      <c r="J18" s="525"/>
      <c r="K18" s="136"/>
      <c r="L18" s="136"/>
    </row>
    <row r="19" spans="1:12" ht="32.25" customHeight="1" thickBot="1" x14ac:dyDescent="0.3">
      <c r="A19" s="124" t="s">
        <v>8</v>
      </c>
      <c r="B19" s="284" t="s">
        <v>37</v>
      </c>
      <c r="C19" s="285"/>
      <c r="D19" s="286"/>
      <c r="E19" s="529">
        <v>7.8200000000000006E-2</v>
      </c>
      <c r="F19" s="530"/>
      <c r="G19" s="531"/>
      <c r="H19" s="290">
        <f>E11*E19</f>
        <v>82.422800000000009</v>
      </c>
      <c r="I19" s="291"/>
      <c r="J19" s="292"/>
      <c r="K19" s="136"/>
      <c r="L19" s="136"/>
    </row>
    <row r="20" spans="1:12" ht="30" customHeight="1" thickBot="1" x14ac:dyDescent="0.3">
      <c r="A20" s="507" t="s">
        <v>45</v>
      </c>
      <c r="B20" s="508"/>
      <c r="C20" s="508"/>
      <c r="D20" s="508"/>
      <c r="E20" s="508"/>
      <c r="F20" s="508"/>
      <c r="G20" s="508"/>
      <c r="H20" s="508"/>
      <c r="I20" s="508"/>
      <c r="J20" s="509"/>
      <c r="K20" s="136"/>
    </row>
    <row r="21" spans="1:12" ht="14.45" customHeight="1" x14ac:dyDescent="0.25">
      <c r="A21" s="482" t="s">
        <v>2</v>
      </c>
      <c r="B21" s="483"/>
      <c r="C21" s="510" t="s">
        <v>3</v>
      </c>
      <c r="D21" s="511"/>
      <c r="E21" s="603">
        <v>0.2</v>
      </c>
      <c r="F21" s="603"/>
      <c r="G21" s="603"/>
      <c r="H21" s="450">
        <f>E21*(E11+H18)</f>
        <v>253.86644000000001</v>
      </c>
      <c r="I21" s="450"/>
      <c r="J21" s="450"/>
      <c r="K21" s="136"/>
      <c r="L21" s="136"/>
    </row>
    <row r="22" spans="1:12" x14ac:dyDescent="0.25">
      <c r="A22" s="482" t="s">
        <v>7</v>
      </c>
      <c r="B22" s="483"/>
      <c r="C22" s="482" t="s">
        <v>41</v>
      </c>
      <c r="D22" s="483"/>
      <c r="E22" s="497">
        <v>2.5000000000000001E-2</v>
      </c>
      <c r="F22" s="497"/>
      <c r="G22" s="497"/>
      <c r="H22" s="450">
        <f>E22*(E11+H18)</f>
        <v>31.733305000000001</v>
      </c>
      <c r="I22" s="450"/>
      <c r="J22" s="450"/>
      <c r="K22" s="136"/>
      <c r="L22" s="136"/>
    </row>
    <row r="23" spans="1:12" ht="14.45" customHeight="1" x14ac:dyDescent="0.25">
      <c r="A23" s="482" t="s">
        <v>8</v>
      </c>
      <c r="B23" s="483"/>
      <c r="C23" s="512" t="s">
        <v>42</v>
      </c>
      <c r="D23" s="513"/>
      <c r="E23" s="514">
        <v>0.03</v>
      </c>
      <c r="F23" s="514"/>
      <c r="G23" s="514"/>
      <c r="H23" s="450">
        <f>E23*(E11+H18)</f>
        <v>38.079965999999999</v>
      </c>
      <c r="I23" s="450"/>
      <c r="J23" s="450"/>
      <c r="K23" s="136"/>
      <c r="L23" s="136"/>
    </row>
    <row r="24" spans="1:12" ht="14.45" customHeight="1" x14ac:dyDescent="0.25">
      <c r="A24" s="482" t="s">
        <v>9</v>
      </c>
      <c r="B24" s="483"/>
      <c r="C24" s="482" t="s">
        <v>43</v>
      </c>
      <c r="D24" s="483"/>
      <c r="E24" s="497">
        <v>1.4999999999999999E-2</v>
      </c>
      <c r="F24" s="497"/>
      <c r="G24" s="497"/>
      <c r="H24" s="450">
        <f>E24*(E11+H18)</f>
        <v>19.039982999999999</v>
      </c>
      <c r="I24" s="450"/>
      <c r="J24" s="450"/>
      <c r="K24" s="136"/>
      <c r="L24" s="136"/>
    </row>
    <row r="25" spans="1:12" ht="14.45" customHeight="1" x14ac:dyDescent="0.25">
      <c r="A25" s="482" t="s">
        <v>10</v>
      </c>
      <c r="B25" s="483"/>
      <c r="C25" s="482" t="s">
        <v>44</v>
      </c>
      <c r="D25" s="483"/>
      <c r="E25" s="497">
        <v>0.01</v>
      </c>
      <c r="F25" s="497"/>
      <c r="G25" s="497"/>
      <c r="H25" s="450">
        <f>E25*(E11+H18)</f>
        <v>12.693322</v>
      </c>
      <c r="I25" s="450"/>
      <c r="J25" s="450"/>
      <c r="K25" s="136"/>
      <c r="L25" s="136"/>
    </row>
    <row r="26" spans="1:12" ht="14.45" customHeight="1" x14ac:dyDescent="0.25">
      <c r="A26" s="482" t="s">
        <v>11</v>
      </c>
      <c r="B26" s="483"/>
      <c r="C26" s="482" t="s">
        <v>6</v>
      </c>
      <c r="D26" s="483"/>
      <c r="E26" s="497">
        <v>6.0000000000000001E-3</v>
      </c>
      <c r="F26" s="497"/>
      <c r="G26" s="497"/>
      <c r="H26" s="450">
        <f>E26*(E11+H18)</f>
        <v>7.6159932000000001</v>
      </c>
      <c r="I26" s="450"/>
      <c r="J26" s="450"/>
      <c r="K26" s="136"/>
      <c r="L26" s="136"/>
    </row>
    <row r="27" spans="1:12" ht="14.45" customHeight="1" x14ac:dyDescent="0.25">
      <c r="A27" s="482" t="s">
        <v>39</v>
      </c>
      <c r="B27" s="483"/>
      <c r="C27" s="482" t="s">
        <v>5</v>
      </c>
      <c r="D27" s="483"/>
      <c r="E27" s="497">
        <v>2E-3</v>
      </c>
      <c r="F27" s="497"/>
      <c r="G27" s="497"/>
      <c r="H27" s="450">
        <f>E27*(E11+H18)</f>
        <v>2.5386644</v>
      </c>
      <c r="I27" s="450"/>
      <c r="J27" s="450"/>
      <c r="K27" s="136"/>
      <c r="L27" s="136"/>
    </row>
    <row r="28" spans="1:12" ht="14.45" customHeight="1" x14ac:dyDescent="0.25">
      <c r="A28" s="532" t="s">
        <v>40</v>
      </c>
      <c r="B28" s="533"/>
      <c r="C28" s="482" t="s">
        <v>4</v>
      </c>
      <c r="D28" s="521"/>
      <c r="E28" s="529">
        <v>0.08</v>
      </c>
      <c r="F28" s="530"/>
      <c r="G28" s="531"/>
      <c r="H28" s="450">
        <f>E28*(E11+H18)</f>
        <v>101.546576</v>
      </c>
      <c r="I28" s="450"/>
      <c r="J28" s="450"/>
      <c r="K28" s="136"/>
      <c r="L28" s="136"/>
    </row>
    <row r="29" spans="1:12" ht="15.75" thickBot="1" x14ac:dyDescent="0.3">
      <c r="A29" s="588" t="s">
        <v>36</v>
      </c>
      <c r="B29" s="588"/>
      <c r="C29" s="588"/>
      <c r="D29" s="588"/>
      <c r="E29" s="589">
        <f>SUM(E21:G28)</f>
        <v>0.36800000000000005</v>
      </c>
      <c r="F29" s="590"/>
      <c r="G29" s="591"/>
      <c r="H29" s="592">
        <f>SUM(H21:J28)</f>
        <v>467.11424960000005</v>
      </c>
      <c r="I29" s="592"/>
      <c r="J29" s="592"/>
      <c r="K29" s="136"/>
      <c r="L29" s="136"/>
    </row>
    <row r="30" spans="1:12" ht="15.75" thickBot="1" x14ac:dyDescent="0.3">
      <c r="A30" s="507" t="s">
        <v>48</v>
      </c>
      <c r="B30" s="508"/>
      <c r="C30" s="508"/>
      <c r="D30" s="508"/>
      <c r="E30" s="508"/>
      <c r="F30" s="508"/>
      <c r="G30" s="508"/>
      <c r="H30" s="508"/>
      <c r="I30" s="508"/>
      <c r="J30" s="509"/>
      <c r="K30" s="136"/>
    </row>
    <row r="31" spans="1:12" ht="14.45" customHeight="1" x14ac:dyDescent="0.25">
      <c r="A31" s="482" t="s">
        <v>2</v>
      </c>
      <c r="B31" s="483"/>
      <c r="C31" s="510" t="s">
        <v>46</v>
      </c>
      <c r="D31" s="511"/>
      <c r="E31" s="603"/>
      <c r="F31" s="603"/>
      <c r="G31" s="603"/>
      <c r="H31" s="450">
        <f>(3.9*2*25.5)-6%*E5</f>
        <v>135.66000000000003</v>
      </c>
      <c r="I31" s="450"/>
      <c r="J31" s="450"/>
      <c r="K31" s="136"/>
      <c r="L31" s="136"/>
    </row>
    <row r="32" spans="1:12" x14ac:dyDescent="0.25">
      <c r="A32" s="482" t="s">
        <v>7</v>
      </c>
      <c r="B32" s="483"/>
      <c r="C32" s="482" t="s">
        <v>47</v>
      </c>
      <c r="D32" s="483"/>
      <c r="E32" s="497"/>
      <c r="F32" s="497"/>
      <c r="G32" s="497"/>
      <c r="H32" s="450">
        <v>326.42</v>
      </c>
      <c r="I32" s="450"/>
      <c r="J32" s="450"/>
      <c r="K32" s="136"/>
      <c r="L32" s="136"/>
    </row>
    <row r="33" spans="1:12" x14ac:dyDescent="0.25">
      <c r="A33" s="482" t="s">
        <v>8</v>
      </c>
      <c r="B33" s="483"/>
      <c r="C33" s="284" t="s">
        <v>49</v>
      </c>
      <c r="D33" s="286"/>
      <c r="E33" s="497"/>
      <c r="F33" s="497"/>
      <c r="G33" s="497"/>
      <c r="H33" s="450">
        <v>35.4</v>
      </c>
      <c r="I33" s="450"/>
      <c r="J33" s="450"/>
      <c r="K33" s="136"/>
      <c r="L33" s="136"/>
    </row>
    <row r="34" spans="1:12" ht="14.45" customHeight="1" x14ac:dyDescent="0.25">
      <c r="A34" s="482" t="s">
        <v>9</v>
      </c>
      <c r="B34" s="483"/>
      <c r="C34" s="478" t="s">
        <v>28</v>
      </c>
      <c r="D34" s="479"/>
      <c r="E34" s="497"/>
      <c r="F34" s="497"/>
      <c r="G34" s="497"/>
      <c r="H34" s="450">
        <v>25.95</v>
      </c>
      <c r="I34" s="450"/>
      <c r="J34" s="450"/>
      <c r="K34" s="136"/>
      <c r="L34" s="136"/>
    </row>
    <row r="35" spans="1:12" ht="14.45" customHeight="1" x14ac:dyDescent="0.25">
      <c r="A35" s="482" t="s">
        <v>10</v>
      </c>
      <c r="B35" s="521"/>
      <c r="C35" s="691" t="s">
        <v>28</v>
      </c>
      <c r="D35" s="691"/>
      <c r="E35" s="530"/>
      <c r="F35" s="530"/>
      <c r="G35" s="531"/>
      <c r="H35" s="290">
        <v>14.95</v>
      </c>
      <c r="I35" s="291"/>
      <c r="J35" s="292"/>
      <c r="K35" s="136"/>
      <c r="L35" s="136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SUM(H31:J35)</f>
        <v>538.38000000000011</v>
      </c>
      <c r="I36" s="451"/>
      <c r="J36" s="451"/>
      <c r="K36" s="136"/>
      <c r="L36" s="136"/>
    </row>
    <row r="37" spans="1:12" ht="15.75" thickBot="1" x14ac:dyDescent="0.3">
      <c r="A37" s="458" t="s">
        <v>72</v>
      </c>
      <c r="B37" s="459"/>
      <c r="C37" s="459"/>
      <c r="D37" s="460"/>
      <c r="E37" s="587">
        <f>H18+H29+H36</f>
        <v>1220.8264496000002</v>
      </c>
      <c r="F37" s="498"/>
      <c r="G37" s="498"/>
      <c r="H37" s="498"/>
      <c r="I37" s="498"/>
      <c r="J37" s="499"/>
      <c r="K37" s="136"/>
      <c r="L37" s="136"/>
    </row>
    <row r="38" spans="1:12" ht="11.2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  <c r="L38" s="136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2" t="s">
        <v>2</v>
      </c>
      <c r="B40" s="453"/>
      <c r="C40" s="452" t="s">
        <v>51</v>
      </c>
      <c r="D40" s="453"/>
      <c r="E40" s="128"/>
      <c r="F40" s="129"/>
      <c r="G40" s="130"/>
      <c r="H40" s="456">
        <f>E11/12*5%</f>
        <v>4.3916666666666666</v>
      </c>
      <c r="I40" s="457"/>
      <c r="J40" s="453"/>
      <c r="K40" s="136"/>
      <c r="L40" s="136"/>
    </row>
    <row r="41" spans="1:12" x14ac:dyDescent="0.25">
      <c r="A41" s="452" t="s">
        <v>7</v>
      </c>
      <c r="B41" s="453"/>
      <c r="C41" s="452" t="s">
        <v>52</v>
      </c>
      <c r="D41" s="453"/>
      <c r="E41" s="128"/>
      <c r="F41" s="129"/>
      <c r="G41" s="130"/>
      <c r="H41" s="456">
        <f>H40*8%</f>
        <v>0.35133333333333333</v>
      </c>
      <c r="I41" s="457"/>
      <c r="J41" s="453"/>
      <c r="K41" s="136"/>
      <c r="L41" s="136"/>
    </row>
    <row r="42" spans="1:12" ht="30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E42*E11</f>
        <v>0</v>
      </c>
      <c r="I42" s="450"/>
      <c r="J42" s="450"/>
      <c r="K42" s="136"/>
      <c r="L42" s="136"/>
    </row>
    <row r="43" spans="1:12" x14ac:dyDescent="0.25">
      <c r="A43" s="482" t="s">
        <v>9</v>
      </c>
      <c r="B43" s="483"/>
      <c r="C43" s="482" t="s">
        <v>54</v>
      </c>
      <c r="D43" s="483"/>
      <c r="E43" s="497"/>
      <c r="F43" s="497"/>
      <c r="G43" s="497"/>
      <c r="H43" s="450">
        <f>E11/30/12*7*100%</f>
        <v>20.494444444444444</v>
      </c>
      <c r="I43" s="450"/>
      <c r="J43" s="450"/>
      <c r="K43" s="136"/>
      <c r="L43" s="136"/>
    </row>
    <row r="44" spans="1:12" ht="28.5" customHeight="1" x14ac:dyDescent="0.25">
      <c r="A44" s="482" t="s">
        <v>10</v>
      </c>
      <c r="B44" s="483"/>
      <c r="C44" s="478" t="s">
        <v>83</v>
      </c>
      <c r="D44" s="479"/>
      <c r="E44" s="497"/>
      <c r="F44" s="497"/>
      <c r="G44" s="497"/>
      <c r="H44" s="450">
        <f>H43*39.8%</f>
        <v>8.1567888888888884</v>
      </c>
      <c r="I44" s="450"/>
      <c r="J44" s="450"/>
      <c r="K44" s="136"/>
      <c r="L44" s="136"/>
    </row>
    <row r="45" spans="1:12" ht="32.25" customHeight="1" thickBot="1" x14ac:dyDescent="0.3">
      <c r="A45" s="473" t="s">
        <v>11</v>
      </c>
      <c r="B45" s="474"/>
      <c r="C45" s="834" t="s">
        <v>53</v>
      </c>
      <c r="D45" s="835"/>
      <c r="E45" s="836"/>
      <c r="F45" s="837"/>
      <c r="G45" s="838"/>
      <c r="H45" s="470">
        <f>E11*5%</f>
        <v>52.7</v>
      </c>
      <c r="I45" s="471"/>
      <c r="J45" s="472"/>
      <c r="K45" s="136"/>
      <c r="L45" s="136"/>
    </row>
    <row r="46" spans="1:12" ht="15.75" thickBot="1" x14ac:dyDescent="0.3">
      <c r="A46" s="570" t="s">
        <v>333</v>
      </c>
      <c r="B46" s="571"/>
      <c r="C46" s="571"/>
      <c r="D46" s="571"/>
      <c r="E46" s="571"/>
      <c r="F46" s="571"/>
      <c r="G46" s="572"/>
      <c r="H46" s="547">
        <f>SUM(H40:J45)</f>
        <v>86.094233333333335</v>
      </c>
      <c r="I46" s="485"/>
      <c r="J46" s="486"/>
      <c r="K46" s="136"/>
      <c r="L46" s="136"/>
    </row>
    <row r="47" spans="1:12" ht="8.25" customHeight="1" thickBot="1" x14ac:dyDescent="0.3">
      <c r="E47" s="131"/>
      <c r="F47" s="131"/>
      <c r="G47" s="131"/>
      <c r="H47" s="161"/>
      <c r="I47" s="161"/>
      <c r="J47" s="161"/>
      <c r="K47" s="136"/>
      <c r="L47" s="136"/>
    </row>
    <row r="48" spans="1:12" ht="33" customHeight="1" thickBot="1" x14ac:dyDescent="0.3">
      <c r="A48" s="494" t="s">
        <v>371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2" t="s">
        <v>2</v>
      </c>
      <c r="B49" s="453"/>
      <c r="C49" s="452" t="s">
        <v>56</v>
      </c>
      <c r="D49" s="453"/>
      <c r="E49" s="128"/>
      <c r="F49" s="129"/>
      <c r="G49" s="130"/>
      <c r="H49" s="456">
        <f>E19/12*5%</f>
        <v>3.2583333333333336E-4</v>
      </c>
      <c r="I49" s="457"/>
      <c r="J49" s="453"/>
      <c r="K49" s="136"/>
      <c r="L49" s="136"/>
    </row>
    <row r="50" spans="1:12" ht="14.45" customHeight="1" x14ac:dyDescent="0.25">
      <c r="A50" s="452" t="s">
        <v>7</v>
      </c>
      <c r="B50" s="453"/>
      <c r="C50" s="452" t="s">
        <v>57</v>
      </c>
      <c r="D50" s="453"/>
      <c r="E50" s="128"/>
      <c r="F50" s="129"/>
      <c r="G50" s="130"/>
      <c r="H50" s="456">
        <f>E11/30/12</f>
        <v>2.9277777777777776</v>
      </c>
      <c r="I50" s="457"/>
      <c r="J50" s="453"/>
      <c r="K50" s="136"/>
      <c r="L50" s="136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E11/30/12*5*1.5%</f>
        <v>0.2195833333333333</v>
      </c>
      <c r="I51" s="450"/>
      <c r="J51" s="450"/>
      <c r="K51" s="136"/>
      <c r="L51" s="136"/>
    </row>
    <row r="52" spans="1:12" ht="14.45" customHeight="1" x14ac:dyDescent="0.25">
      <c r="A52" s="482" t="s">
        <v>9</v>
      </c>
      <c r="B52" s="483"/>
      <c r="C52" s="482" t="s">
        <v>59</v>
      </c>
      <c r="D52" s="483"/>
      <c r="E52" s="497"/>
      <c r="F52" s="497"/>
      <c r="G52" s="497"/>
      <c r="H52" s="450">
        <f>E11/30/12*15*8%</f>
        <v>3.5133333333333332</v>
      </c>
      <c r="I52" s="450"/>
      <c r="J52" s="450"/>
      <c r="K52" s="136"/>
      <c r="L52" s="136"/>
    </row>
    <row r="53" spans="1:12" ht="14.45" customHeight="1" x14ac:dyDescent="0.25">
      <c r="A53" s="482" t="s">
        <v>10</v>
      </c>
      <c r="B53" s="483"/>
      <c r="C53" s="478" t="s">
        <v>60</v>
      </c>
      <c r="D53" s="479"/>
      <c r="E53" s="497"/>
      <c r="F53" s="497"/>
      <c r="G53" s="497"/>
      <c r="H53" s="450">
        <f>E19*5%</f>
        <v>3.9100000000000003E-3</v>
      </c>
      <c r="I53" s="450"/>
      <c r="J53" s="450"/>
      <c r="K53" s="136"/>
      <c r="L53" s="136"/>
    </row>
    <row r="54" spans="1:12" ht="14.45" customHeight="1" x14ac:dyDescent="0.25">
      <c r="A54" s="482" t="s">
        <v>11</v>
      </c>
      <c r="B54" s="483"/>
      <c r="C54" s="478" t="s">
        <v>61</v>
      </c>
      <c r="D54" s="479"/>
      <c r="E54" s="497"/>
      <c r="F54" s="497"/>
      <c r="G54" s="497"/>
      <c r="H54" s="450">
        <f>E11/30/12*5*40%</f>
        <v>5.8555555555555552</v>
      </c>
      <c r="I54" s="450"/>
      <c r="J54" s="450"/>
      <c r="K54" s="136"/>
      <c r="L54" s="136"/>
    </row>
    <row r="55" spans="1:12" ht="33" customHeight="1" x14ac:dyDescent="0.25">
      <c r="A55" s="482" t="s">
        <v>39</v>
      </c>
      <c r="B55" s="483"/>
      <c r="C55" s="478" t="s">
        <v>62</v>
      </c>
      <c r="D55" s="479"/>
      <c r="E55" s="497"/>
      <c r="F55" s="497"/>
      <c r="G55" s="497"/>
      <c r="H55" s="450">
        <f>SUM(H49:J54)*39.8%</f>
        <v>4.9831533616666661</v>
      </c>
      <c r="I55" s="450"/>
      <c r="J55" s="450"/>
      <c r="K55" s="136"/>
      <c r="L55" s="136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17.503639194999998</v>
      </c>
      <c r="I56" s="592"/>
      <c r="J56" s="592"/>
      <c r="K56" s="136"/>
      <c r="L56" s="136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28.5" customHeight="1" x14ac:dyDescent="0.25">
      <c r="A58" s="452" t="s">
        <v>2</v>
      </c>
      <c r="B58" s="453"/>
      <c r="C58" s="454" t="s">
        <v>64</v>
      </c>
      <c r="D58" s="455"/>
      <c r="E58" s="128"/>
      <c r="F58" s="129"/>
      <c r="G58" s="130"/>
      <c r="H58" s="456">
        <f>((((E11+(E11/3))*0.3333)/12)*2%)</f>
        <v>0.78066266666666662</v>
      </c>
      <c r="I58" s="457"/>
      <c r="J58" s="453"/>
      <c r="K58" s="136"/>
      <c r="L58" s="136"/>
    </row>
    <row r="59" spans="1:12" ht="45.75" customHeight="1" x14ac:dyDescent="0.25">
      <c r="A59" s="452" t="s">
        <v>7</v>
      </c>
      <c r="B59" s="453"/>
      <c r="C59" s="454" t="s">
        <v>65</v>
      </c>
      <c r="D59" s="455"/>
      <c r="E59" s="128"/>
      <c r="F59" s="129"/>
      <c r="G59" s="130"/>
      <c r="H59" s="456">
        <f>H58*39.8%</f>
        <v>0.31070374133333328</v>
      </c>
      <c r="I59" s="457"/>
      <c r="J59" s="453"/>
      <c r="K59" s="136"/>
      <c r="L59" s="136"/>
    </row>
    <row r="60" spans="1:12" ht="45.7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(((E11+H16)*0.333)*2%)*39.8%</f>
        <v>3.0265416527759998</v>
      </c>
      <c r="I60" s="450"/>
      <c r="J60" s="450"/>
      <c r="K60" s="136"/>
      <c r="L60" s="136"/>
    </row>
    <row r="61" spans="1:12" ht="14.45" customHeight="1" x14ac:dyDescent="0.25">
      <c r="A61" s="482" t="s">
        <v>9</v>
      </c>
      <c r="B61" s="483"/>
      <c r="C61" s="482" t="s">
        <v>67</v>
      </c>
      <c r="D61" s="483"/>
      <c r="E61" s="497"/>
      <c r="F61" s="497"/>
      <c r="G61" s="497"/>
      <c r="H61" s="450"/>
      <c r="I61" s="450"/>
      <c r="J61" s="450"/>
      <c r="K61" s="136"/>
      <c r="L61" s="136"/>
    </row>
    <row r="62" spans="1:12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4.1179080607759992</v>
      </c>
      <c r="I62" s="592"/>
      <c r="J62" s="592"/>
      <c r="K62" s="136"/>
      <c r="L62" s="136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0" customHeight="1" x14ac:dyDescent="0.25">
      <c r="A64" s="452" t="s">
        <v>2</v>
      </c>
      <c r="B64" s="453"/>
      <c r="C64" s="454" t="s">
        <v>69</v>
      </c>
      <c r="D64" s="455"/>
      <c r="E64" s="128"/>
      <c r="F64" s="129"/>
      <c r="G64" s="130"/>
      <c r="H64" s="456">
        <f>((((E17+(E17/3))*0.3333)/12)*2%)</f>
        <v>8.9620666666666654E-5</v>
      </c>
      <c r="I64" s="457"/>
      <c r="J64" s="453"/>
      <c r="K64" s="136"/>
      <c r="L64" s="136"/>
    </row>
    <row r="65" spans="1:12" ht="29.25" customHeight="1" x14ac:dyDescent="0.25">
      <c r="A65" s="452" t="s">
        <v>7</v>
      </c>
      <c r="B65" s="453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36"/>
      <c r="L65" s="136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  <c r="L66" s="136"/>
    </row>
    <row r="67" spans="1:12" ht="15.75" thickBot="1" x14ac:dyDescent="0.3">
      <c r="A67" s="458" t="s">
        <v>71</v>
      </c>
      <c r="B67" s="459"/>
      <c r="C67" s="459"/>
      <c r="D67" s="725"/>
      <c r="E67" s="587">
        <f>H66+H62+H56</f>
        <v>21.621672545467998</v>
      </c>
      <c r="F67" s="498"/>
      <c r="G67" s="498"/>
      <c r="H67" s="498"/>
      <c r="I67" s="498"/>
      <c r="J67" s="499"/>
      <c r="K67" s="136"/>
      <c r="L67" s="136"/>
    </row>
    <row r="68" spans="1:12" ht="11.2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36"/>
      <c r="L68" s="136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ht="14.45" customHeight="1" x14ac:dyDescent="0.25">
      <c r="A70" s="452" t="s">
        <v>2</v>
      </c>
      <c r="B70" s="453"/>
      <c r="C70" s="452" t="s">
        <v>74</v>
      </c>
      <c r="D70" s="453"/>
      <c r="E70" s="839"/>
      <c r="F70" s="840"/>
      <c r="G70" s="841"/>
      <c r="H70" s="456">
        <v>375</v>
      </c>
      <c r="I70" s="457"/>
      <c r="J70" s="453"/>
      <c r="K70" s="136"/>
      <c r="L70" s="136"/>
    </row>
    <row r="71" spans="1:12" ht="14.45" customHeight="1" x14ac:dyDescent="0.25">
      <c r="A71" s="452" t="s">
        <v>7</v>
      </c>
      <c r="B71" s="453"/>
      <c r="C71" s="452" t="s">
        <v>75</v>
      </c>
      <c r="D71" s="453"/>
      <c r="E71" s="128"/>
      <c r="F71" s="129"/>
      <c r="G71" s="130"/>
      <c r="H71" s="456">
        <v>25</v>
      </c>
      <c r="I71" s="457"/>
      <c r="J71" s="453"/>
      <c r="K71" s="136"/>
      <c r="L71" s="136"/>
    </row>
    <row r="72" spans="1:12" ht="14.45" customHeight="1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50</v>
      </c>
      <c r="I72" s="450"/>
      <c r="J72" s="450"/>
      <c r="K72" s="136"/>
      <c r="L72" s="136"/>
    </row>
    <row r="73" spans="1:12" ht="14.45" customHeight="1" thickBot="1" x14ac:dyDescent="0.3">
      <c r="A73" s="473" t="s">
        <v>9</v>
      </c>
      <c r="B73" s="474"/>
      <c r="C73" s="473" t="s">
        <v>28</v>
      </c>
      <c r="D73" s="474"/>
      <c r="E73" s="842"/>
      <c r="F73" s="842"/>
      <c r="G73" s="842"/>
      <c r="H73" s="449">
        <v>4.5</v>
      </c>
      <c r="I73" s="449"/>
      <c r="J73" s="449"/>
      <c r="K73" s="136"/>
      <c r="L73" s="136"/>
    </row>
    <row r="74" spans="1:12" ht="15.75" thickBot="1" x14ac:dyDescent="0.3">
      <c r="A74" s="570" t="s">
        <v>336</v>
      </c>
      <c r="B74" s="571"/>
      <c r="C74" s="571"/>
      <c r="D74" s="571"/>
      <c r="E74" s="571"/>
      <c r="F74" s="571"/>
      <c r="G74" s="571"/>
      <c r="H74" s="547">
        <f>SUM(H70:J73)</f>
        <v>454.5</v>
      </c>
      <c r="I74" s="485"/>
      <c r="J74" s="486"/>
      <c r="K74" s="136"/>
      <c r="L74" s="136"/>
    </row>
    <row r="75" spans="1:12" ht="9.75" customHeight="1" thickBot="1" x14ac:dyDescent="0.3">
      <c r="E75" s="131"/>
      <c r="F75" s="131"/>
      <c r="G75" s="131"/>
      <c r="H75" s="161"/>
      <c r="I75" s="161"/>
      <c r="J75" s="161"/>
      <c r="K75" s="136"/>
      <c r="L75" s="136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ht="14.45" customHeight="1" x14ac:dyDescent="0.25">
      <c r="A77" s="452" t="s">
        <v>2</v>
      </c>
      <c r="B77" s="453"/>
      <c r="C77" s="452" t="s">
        <v>77</v>
      </c>
      <c r="D77" s="453"/>
      <c r="E77" s="843">
        <v>7.0000000000000007E-2</v>
      </c>
      <c r="F77" s="840"/>
      <c r="G77" s="841"/>
      <c r="H77" s="456">
        <f>(H74+E67+H46+E37+E11)*E77</f>
        <v>198.59296488351612</v>
      </c>
      <c r="I77" s="457"/>
      <c r="J77" s="453"/>
      <c r="K77" s="136"/>
      <c r="L77" s="136"/>
    </row>
    <row r="78" spans="1:12" ht="14.45" customHeight="1" x14ac:dyDescent="0.25">
      <c r="A78" s="452" t="s">
        <v>7</v>
      </c>
      <c r="B78" s="453"/>
      <c r="C78" s="452" t="s">
        <v>12</v>
      </c>
      <c r="D78" s="453"/>
      <c r="E78" s="843">
        <v>7.5774698881747829E-2</v>
      </c>
      <c r="F78" s="840"/>
      <c r="G78" s="841"/>
      <c r="H78" s="456">
        <f>E78*(H74+E67+H46+E37+E11)</f>
        <v>214.97603020117074</v>
      </c>
      <c r="I78" s="457"/>
      <c r="J78" s="453"/>
      <c r="K78" s="136"/>
      <c r="L78" s="136"/>
    </row>
    <row r="79" spans="1:12" ht="14.45" customHeight="1" x14ac:dyDescent="0.25">
      <c r="A79" s="318" t="s">
        <v>8</v>
      </c>
      <c r="B79" s="319"/>
      <c r="C79" s="320" t="s">
        <v>78</v>
      </c>
      <c r="D79" s="321"/>
      <c r="E79" s="845">
        <v>0.85750000000000004</v>
      </c>
      <c r="F79" s="846"/>
      <c r="G79" s="847"/>
      <c r="H79" s="450">
        <f>(H74+E67+H46+E37+E11)/E79</f>
        <v>3308.5042046400013</v>
      </c>
      <c r="I79" s="450"/>
      <c r="J79" s="450"/>
      <c r="K79" s="136"/>
      <c r="L79" s="136"/>
    </row>
    <row r="80" spans="1:12" ht="14.45" customHeight="1" x14ac:dyDescent="0.25">
      <c r="A80" s="482" t="s">
        <v>9</v>
      </c>
      <c r="B80" s="483"/>
      <c r="C80" s="482" t="s">
        <v>79</v>
      </c>
      <c r="D80" s="483"/>
      <c r="E80" s="497">
        <v>1.6500000000000001E-2</v>
      </c>
      <c r="F80" s="497"/>
      <c r="G80" s="497"/>
      <c r="H80" s="450">
        <f>E80*D88</f>
        <v>47.672129999999996</v>
      </c>
      <c r="I80" s="450"/>
      <c r="J80" s="450"/>
      <c r="K80" s="136"/>
      <c r="L80" s="136"/>
    </row>
    <row r="81" spans="1:12" ht="14.45" customHeight="1" x14ac:dyDescent="0.25">
      <c r="A81" s="482" t="s">
        <v>9</v>
      </c>
      <c r="B81" s="483"/>
      <c r="C81" s="482" t="s">
        <v>80</v>
      </c>
      <c r="D81" s="483"/>
      <c r="E81" s="497">
        <v>7.5999999999999998E-2</v>
      </c>
      <c r="F81" s="497"/>
      <c r="G81" s="497"/>
      <c r="H81" s="450">
        <f>E81*D88</f>
        <v>219.58071999999999</v>
      </c>
      <c r="I81" s="450"/>
      <c r="J81" s="450"/>
      <c r="K81" s="136"/>
      <c r="L81" s="136"/>
    </row>
    <row r="82" spans="1:12" ht="14.45" customHeight="1" x14ac:dyDescent="0.25">
      <c r="A82" s="482" t="s">
        <v>10</v>
      </c>
      <c r="B82" s="483"/>
      <c r="C82" s="482" t="s">
        <v>81</v>
      </c>
      <c r="D82" s="483"/>
      <c r="E82" s="497"/>
      <c r="F82" s="497"/>
      <c r="G82" s="497"/>
      <c r="H82" s="450"/>
      <c r="I82" s="450"/>
      <c r="J82" s="450"/>
      <c r="K82" s="136"/>
      <c r="L82" s="136"/>
    </row>
    <row r="83" spans="1:12" ht="14.45" customHeight="1" thickBot="1" x14ac:dyDescent="0.3">
      <c r="A83" s="473" t="s">
        <v>11</v>
      </c>
      <c r="B83" s="474"/>
      <c r="C83" s="473" t="s">
        <v>82</v>
      </c>
      <c r="D83" s="474"/>
      <c r="E83" s="842">
        <v>0.05</v>
      </c>
      <c r="F83" s="842"/>
      <c r="G83" s="842"/>
      <c r="H83" s="449">
        <f>E83*D88</f>
        <v>144.46099999999998</v>
      </c>
      <c r="I83" s="449"/>
      <c r="J83" s="449"/>
      <c r="K83" s="136"/>
      <c r="L83" s="136"/>
    </row>
    <row r="84" spans="1:12" ht="15.75" thickBot="1" x14ac:dyDescent="0.3">
      <c r="A84" s="570" t="s">
        <v>340</v>
      </c>
      <c r="B84" s="571"/>
      <c r="C84" s="571"/>
      <c r="D84" s="571"/>
      <c r="E84" s="571"/>
      <c r="F84" s="571"/>
      <c r="G84" s="571"/>
      <c r="H84" s="547">
        <f>H77+H78+H80+H81+H83</f>
        <v>825.28284508468687</v>
      </c>
      <c r="I84" s="485"/>
      <c r="J84" s="486"/>
      <c r="K84" s="136"/>
      <c r="L84" s="136"/>
    </row>
    <row r="85" spans="1:12" ht="11.25" customHeight="1" thickBot="1" x14ac:dyDescent="0.3">
      <c r="E85" s="131"/>
      <c r="F85" s="131"/>
      <c r="G85" s="131"/>
      <c r="H85" s="161"/>
      <c r="I85" s="161"/>
      <c r="J85" s="161"/>
      <c r="K85" s="136"/>
      <c r="L85" s="136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2"/>
      <c r="H86" s="862">
        <f>SUM(H84+H74+E67+H46+E37+E11)</f>
        <v>3662.3252005634886</v>
      </c>
      <c r="I86" s="862"/>
      <c r="J86" s="863"/>
      <c r="K86" s="136"/>
      <c r="L86" s="136"/>
    </row>
    <row r="87" spans="1:12" x14ac:dyDescent="0.25">
      <c r="A87" s="136"/>
      <c r="B87" s="136"/>
      <c r="C87" s="136"/>
      <c r="D87" s="136"/>
      <c r="E87" s="164"/>
      <c r="F87" s="164"/>
      <c r="G87" s="164"/>
      <c r="H87" s="136"/>
      <c r="I87" s="136"/>
      <c r="J87" s="136"/>
      <c r="K87" s="136"/>
      <c r="L87" s="136"/>
    </row>
    <row r="88" spans="1:12" x14ac:dyDescent="0.25">
      <c r="A88" s="136"/>
      <c r="B88" s="136"/>
      <c r="C88" s="136"/>
      <c r="D88" s="165">
        <v>2889.22</v>
      </c>
      <c r="E88" s="164"/>
      <c r="F88" s="164"/>
      <c r="G88" s="164"/>
      <c r="H88" s="136"/>
      <c r="I88" s="136"/>
      <c r="J88" s="136"/>
      <c r="K88" s="136"/>
      <c r="L88" s="136"/>
    </row>
    <row r="89" spans="1:12" ht="15.75" thickBot="1" x14ac:dyDescent="0.3">
      <c r="A89" s="136"/>
      <c r="B89" s="136"/>
      <c r="C89" s="136"/>
      <c r="D89" s="136"/>
      <c r="E89" s="164"/>
      <c r="F89" s="164"/>
      <c r="G89" s="164"/>
      <c r="H89" s="136"/>
      <c r="I89" s="136"/>
      <c r="J89" s="136"/>
      <c r="K89" s="136"/>
      <c r="L89" s="136"/>
    </row>
  </sheetData>
  <mergeCells count="233">
    <mergeCell ref="A33:B33"/>
    <mergeCell ref="A32:B32"/>
    <mergeCell ref="A1:J1"/>
    <mergeCell ref="A2:C2"/>
    <mergeCell ref="D2:J2"/>
    <mergeCell ref="A74:G74"/>
    <mergeCell ref="A84:G84"/>
    <mergeCell ref="A46:G46"/>
    <mergeCell ref="A80:B80"/>
    <mergeCell ref="C80:D80"/>
    <mergeCell ref="E80:G80"/>
    <mergeCell ref="H80:J80"/>
    <mergeCell ref="A81:B81"/>
    <mergeCell ref="C81:D81"/>
    <mergeCell ref="E81:G81"/>
    <mergeCell ref="H81:J81"/>
    <mergeCell ref="A77:B77"/>
    <mergeCell ref="C77:D77"/>
    <mergeCell ref="A78:B78"/>
    <mergeCell ref="C78:D78"/>
    <mergeCell ref="E78:G78"/>
    <mergeCell ref="H78:J78"/>
    <mergeCell ref="A79:B79"/>
    <mergeCell ref="C79:D79"/>
    <mergeCell ref="E79:G79"/>
    <mergeCell ref="H79:J79"/>
    <mergeCell ref="E45:G45"/>
    <mergeCell ref="H45:J45"/>
    <mergeCell ref="A45:B45"/>
    <mergeCell ref="C45:D45"/>
    <mergeCell ref="H46:J46"/>
    <mergeCell ref="A86:G86"/>
    <mergeCell ref="H86:J86"/>
    <mergeCell ref="A82:B82"/>
    <mergeCell ref="C82:D82"/>
    <mergeCell ref="E82:G82"/>
    <mergeCell ref="H82:J82"/>
    <mergeCell ref="A83:B83"/>
    <mergeCell ref="C83:D83"/>
    <mergeCell ref="E83:G83"/>
    <mergeCell ref="H83:J83"/>
    <mergeCell ref="H84:J84"/>
    <mergeCell ref="A48:J48"/>
    <mergeCell ref="A49:B49"/>
    <mergeCell ref="C49:D49"/>
    <mergeCell ref="A50:B50"/>
    <mergeCell ref="E51:G51"/>
    <mergeCell ref="H51:J51"/>
    <mergeCell ref="A37:D37"/>
    <mergeCell ref="E37:J37"/>
    <mergeCell ref="A39:J39"/>
    <mergeCell ref="A40:B40"/>
    <mergeCell ref="C40:D40"/>
    <mergeCell ref="A41:B41"/>
    <mergeCell ref="C41:D41"/>
    <mergeCell ref="H41:J41"/>
    <mergeCell ref="A42:B42"/>
    <mergeCell ref="C42:D42"/>
    <mergeCell ref="E42:G42"/>
    <mergeCell ref="H42:J42"/>
    <mergeCell ref="A22:B22"/>
    <mergeCell ref="A23:B23"/>
    <mergeCell ref="A24:B24"/>
    <mergeCell ref="A25:B25"/>
    <mergeCell ref="A26:B26"/>
    <mergeCell ref="A27:B27"/>
    <mergeCell ref="A28:B28"/>
    <mergeCell ref="C28:D28"/>
    <mergeCell ref="A29:D29"/>
    <mergeCell ref="C24:D24"/>
    <mergeCell ref="C26:D26"/>
    <mergeCell ref="A3:J3"/>
    <mergeCell ref="A4:J4"/>
    <mergeCell ref="B5:D5"/>
    <mergeCell ref="B6:D6"/>
    <mergeCell ref="B7:D7"/>
    <mergeCell ref="E7:J7"/>
    <mergeCell ref="B8:D8"/>
    <mergeCell ref="E8:J8"/>
    <mergeCell ref="B9:D9"/>
    <mergeCell ref="E9:J9"/>
    <mergeCell ref="E5:J5"/>
    <mergeCell ref="E6:J6"/>
    <mergeCell ref="B10:D10"/>
    <mergeCell ref="E10:J10"/>
    <mergeCell ref="A11:D11"/>
    <mergeCell ref="E11:J11"/>
    <mergeCell ref="A12:D12"/>
    <mergeCell ref="E12:J12"/>
    <mergeCell ref="A13:J13"/>
    <mergeCell ref="A14:J14"/>
    <mergeCell ref="A15:J15"/>
    <mergeCell ref="C21:D21"/>
    <mergeCell ref="E21:G21"/>
    <mergeCell ref="H21:J21"/>
    <mergeCell ref="E16:G16"/>
    <mergeCell ref="H16:J16"/>
    <mergeCell ref="E17:G17"/>
    <mergeCell ref="H17:J17"/>
    <mergeCell ref="B16:D16"/>
    <mergeCell ref="B17:D17"/>
    <mergeCell ref="A18:G18"/>
    <mergeCell ref="H18:J18"/>
    <mergeCell ref="B19:D19"/>
    <mergeCell ref="E19:G19"/>
    <mergeCell ref="H19:J19"/>
    <mergeCell ref="A20:J20"/>
    <mergeCell ref="A21:B21"/>
    <mergeCell ref="E24:G24"/>
    <mergeCell ref="H24:J24"/>
    <mergeCell ref="C25:D25"/>
    <mergeCell ref="E25:G25"/>
    <mergeCell ref="H25:J25"/>
    <mergeCell ref="C22:D22"/>
    <mergeCell ref="E22:G22"/>
    <mergeCell ref="H22:J22"/>
    <mergeCell ref="C23:D23"/>
    <mergeCell ref="E23:G23"/>
    <mergeCell ref="H23:J23"/>
    <mergeCell ref="E26:G26"/>
    <mergeCell ref="H26:J26"/>
    <mergeCell ref="C27:D27"/>
    <mergeCell ref="E27:G27"/>
    <mergeCell ref="H27:J27"/>
    <mergeCell ref="E29:G29"/>
    <mergeCell ref="H29:J29"/>
    <mergeCell ref="A31:B31"/>
    <mergeCell ref="H36:J36"/>
    <mergeCell ref="C32:D32"/>
    <mergeCell ref="E32:G32"/>
    <mergeCell ref="H32:J32"/>
    <mergeCell ref="C33:D33"/>
    <mergeCell ref="E33:G33"/>
    <mergeCell ref="H33:J33"/>
    <mergeCell ref="E28:G28"/>
    <mergeCell ref="H28:J28"/>
    <mergeCell ref="A30:J30"/>
    <mergeCell ref="C31:D31"/>
    <mergeCell ref="E31:G31"/>
    <mergeCell ref="H31:J31"/>
    <mergeCell ref="A35:B35"/>
    <mergeCell ref="C35:D35"/>
    <mergeCell ref="E35:G35"/>
    <mergeCell ref="H35:J35"/>
    <mergeCell ref="A51:B51"/>
    <mergeCell ref="C51:D51"/>
    <mergeCell ref="H58:J58"/>
    <mergeCell ref="E52:G52"/>
    <mergeCell ref="H52:J52"/>
    <mergeCell ref="E54:G54"/>
    <mergeCell ref="H54:J54"/>
    <mergeCell ref="A34:B34"/>
    <mergeCell ref="A36:G36"/>
    <mergeCell ref="C43:D43"/>
    <mergeCell ref="E43:G43"/>
    <mergeCell ref="H43:J43"/>
    <mergeCell ref="C44:D44"/>
    <mergeCell ref="E44:G44"/>
    <mergeCell ref="H44:J44"/>
    <mergeCell ref="A38:J38"/>
    <mergeCell ref="H40:J40"/>
    <mergeCell ref="A43:B43"/>
    <mergeCell ref="A44:B44"/>
    <mergeCell ref="C34:D34"/>
    <mergeCell ref="E34:G34"/>
    <mergeCell ref="H34:J34"/>
    <mergeCell ref="H49:J49"/>
    <mergeCell ref="A65:B65"/>
    <mergeCell ref="H59:J59"/>
    <mergeCell ref="E53:G53"/>
    <mergeCell ref="H53:J53"/>
    <mergeCell ref="H56:J56"/>
    <mergeCell ref="A55:B55"/>
    <mergeCell ref="C55:D55"/>
    <mergeCell ref="E55:G55"/>
    <mergeCell ref="H55:J55"/>
    <mergeCell ref="A56:D56"/>
    <mergeCell ref="E56:G56"/>
    <mergeCell ref="A57:J57"/>
    <mergeCell ref="A58:B58"/>
    <mergeCell ref="C58:D58"/>
    <mergeCell ref="A59:B59"/>
    <mergeCell ref="C59:D59"/>
    <mergeCell ref="A53:B53"/>
    <mergeCell ref="C53:D53"/>
    <mergeCell ref="A54:B54"/>
    <mergeCell ref="C54:D54"/>
    <mergeCell ref="A67:D67"/>
    <mergeCell ref="E67:J67"/>
    <mergeCell ref="E73:G73"/>
    <mergeCell ref="H73:J73"/>
    <mergeCell ref="E77:G77"/>
    <mergeCell ref="H77:J77"/>
    <mergeCell ref="A70:B70"/>
    <mergeCell ref="C70:D70"/>
    <mergeCell ref="E70:G70"/>
    <mergeCell ref="H70:J70"/>
    <mergeCell ref="H71:J71"/>
    <mergeCell ref="A69:J69"/>
    <mergeCell ref="A71:B71"/>
    <mergeCell ref="C71:D71"/>
    <mergeCell ref="A72:B72"/>
    <mergeCell ref="C72:D72"/>
    <mergeCell ref="E72:G72"/>
    <mergeCell ref="H72:J72"/>
    <mergeCell ref="A73:B73"/>
    <mergeCell ref="C73:D73"/>
    <mergeCell ref="H74:J74"/>
    <mergeCell ref="A76:J76"/>
    <mergeCell ref="C65:D65"/>
    <mergeCell ref="H65:J65"/>
    <mergeCell ref="A63:J63"/>
    <mergeCell ref="A64:B64"/>
    <mergeCell ref="C64:D64"/>
    <mergeCell ref="H64:J64"/>
    <mergeCell ref="A66:D66"/>
    <mergeCell ref="H50:J50"/>
    <mergeCell ref="A52:B52"/>
    <mergeCell ref="C52:D52"/>
    <mergeCell ref="E66:G66"/>
    <mergeCell ref="H66:J66"/>
    <mergeCell ref="H60:J60"/>
    <mergeCell ref="A60:B60"/>
    <mergeCell ref="C60:D60"/>
    <mergeCell ref="E60:G60"/>
    <mergeCell ref="A61:B61"/>
    <mergeCell ref="C61:D61"/>
    <mergeCell ref="E61:G61"/>
    <mergeCell ref="H61:J61"/>
    <mergeCell ref="A62:D62"/>
    <mergeCell ref="E62:G62"/>
    <mergeCell ref="H62:J62"/>
    <mergeCell ref="C50:D5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4659260841701"/>
  </sheetPr>
  <dimension ref="A1:L92"/>
  <sheetViews>
    <sheetView topLeftCell="A31" workbookViewId="0">
      <selection activeCell="L16" sqref="L16"/>
    </sheetView>
  </sheetViews>
  <sheetFormatPr defaultRowHeight="15" x14ac:dyDescent="0.25"/>
  <cols>
    <col min="1" max="1" width="6.7109375" style="134" customWidth="1"/>
    <col min="2" max="2" width="3.28515625" style="134" customWidth="1"/>
    <col min="3" max="3" width="10.42578125" style="134" customWidth="1"/>
    <col min="4" max="4" width="40.7109375" style="134" customWidth="1"/>
    <col min="5" max="7" width="3.140625" style="116" customWidth="1"/>
    <col min="8" max="8" width="2.7109375" style="134" customWidth="1"/>
    <col min="9" max="9" width="2.85546875" style="134" customWidth="1"/>
    <col min="10" max="10" width="6.570312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124</v>
      </c>
      <c r="E2" s="738"/>
      <c r="F2" s="738"/>
      <c r="G2" s="738"/>
      <c r="H2" s="738"/>
      <c r="I2" s="738"/>
      <c r="J2" s="739"/>
      <c r="K2" s="136"/>
    </row>
    <row r="3" spans="1:12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ht="15" customHeight="1" x14ac:dyDescent="0.25">
      <c r="A5" s="284" t="s">
        <v>31</v>
      </c>
      <c r="B5" s="285"/>
      <c r="C5" s="285"/>
      <c r="D5" s="285"/>
      <c r="E5" s="285"/>
      <c r="F5" s="285"/>
      <c r="G5" s="285"/>
      <c r="H5" s="285"/>
      <c r="I5" s="285"/>
      <c r="J5" s="286"/>
      <c r="K5" s="136"/>
      <c r="L5" s="136"/>
    </row>
    <row r="6" spans="1:12" x14ac:dyDescent="0.25">
      <c r="A6" s="32" t="s">
        <v>2</v>
      </c>
      <c r="B6" s="929" t="s">
        <v>1</v>
      </c>
      <c r="C6" s="930"/>
      <c r="D6" s="931"/>
      <c r="E6" s="936">
        <v>1865.86</v>
      </c>
      <c r="F6" s="937"/>
      <c r="G6" s="937"/>
      <c r="H6" s="937"/>
      <c r="I6" s="937"/>
      <c r="J6" s="937"/>
      <c r="K6" s="136"/>
      <c r="L6" s="136"/>
    </row>
    <row r="7" spans="1:12" x14ac:dyDescent="0.25">
      <c r="A7" s="32" t="s">
        <v>7</v>
      </c>
      <c r="B7" s="929" t="s">
        <v>25</v>
      </c>
      <c r="C7" s="930"/>
      <c r="D7" s="931"/>
      <c r="E7" s="932"/>
      <c r="F7" s="933"/>
      <c r="G7" s="933"/>
      <c r="H7" s="933"/>
      <c r="I7" s="933"/>
      <c r="J7" s="934"/>
      <c r="K7" s="136"/>
      <c r="L7" s="136"/>
    </row>
    <row r="8" spans="1:12" x14ac:dyDescent="0.25">
      <c r="A8" s="32" t="s">
        <v>8</v>
      </c>
      <c r="B8" s="929" t="s">
        <v>26</v>
      </c>
      <c r="C8" s="930"/>
      <c r="D8" s="931"/>
      <c r="E8" s="932"/>
      <c r="F8" s="933"/>
      <c r="G8" s="933"/>
      <c r="H8" s="933"/>
      <c r="I8" s="933"/>
      <c r="J8" s="934"/>
      <c r="K8" s="136"/>
      <c r="L8" s="136"/>
    </row>
    <row r="9" spans="1:12" x14ac:dyDescent="0.25">
      <c r="A9" s="32" t="s">
        <v>9</v>
      </c>
      <c r="B9" s="929" t="s">
        <v>27</v>
      </c>
      <c r="C9" s="930"/>
      <c r="D9" s="931"/>
      <c r="E9" s="932"/>
      <c r="F9" s="933"/>
      <c r="G9" s="933"/>
      <c r="H9" s="933"/>
      <c r="I9" s="933"/>
      <c r="J9" s="934"/>
      <c r="K9" s="136"/>
      <c r="L9" s="136"/>
    </row>
    <row r="10" spans="1:12" x14ac:dyDescent="0.25">
      <c r="A10" s="32" t="s">
        <v>10</v>
      </c>
      <c r="B10" s="929" t="s">
        <v>28</v>
      </c>
      <c r="C10" s="930"/>
      <c r="D10" s="931"/>
      <c r="E10" s="935"/>
      <c r="F10" s="935"/>
      <c r="G10" s="935"/>
      <c r="H10" s="935"/>
      <c r="I10" s="935"/>
      <c r="J10" s="935"/>
      <c r="K10" s="136"/>
      <c r="L10" s="136"/>
    </row>
    <row r="11" spans="1:12" ht="29.25" customHeight="1" thickBot="1" x14ac:dyDescent="0.3">
      <c r="A11" s="137" t="s">
        <v>11</v>
      </c>
      <c r="B11" s="609" t="s">
        <v>92</v>
      </c>
      <c r="C11" s="610"/>
      <c r="D11" s="611"/>
      <c r="E11" s="893"/>
      <c r="F11" s="893"/>
      <c r="G11" s="893"/>
      <c r="H11" s="893"/>
      <c r="I11" s="893"/>
      <c r="J11" s="893"/>
      <c r="K11" s="136"/>
      <c r="L11" s="136"/>
    </row>
    <row r="12" spans="1:12" ht="15.75" thickBot="1" x14ac:dyDescent="0.3">
      <c r="A12" s="882" t="s">
        <v>330</v>
      </c>
      <c r="B12" s="883"/>
      <c r="C12" s="883"/>
      <c r="D12" s="925"/>
      <c r="E12" s="894">
        <f>SUM(E6:J11)</f>
        <v>1865.86</v>
      </c>
      <c r="F12" s="895"/>
      <c r="G12" s="895"/>
      <c r="H12" s="895"/>
      <c r="I12" s="895"/>
      <c r="J12" s="896"/>
      <c r="K12" s="136"/>
      <c r="L12" s="136"/>
    </row>
    <row r="13" spans="1:12" ht="31.5" customHeight="1" x14ac:dyDescent="0.25">
      <c r="A13" s="551" t="s">
        <v>29</v>
      </c>
      <c r="B13" s="715"/>
      <c r="C13" s="715"/>
      <c r="D13" s="716"/>
      <c r="E13" s="926">
        <f>E12*E30</f>
        <v>686.63648000000001</v>
      </c>
      <c r="F13" s="927"/>
      <c r="G13" s="927"/>
      <c r="H13" s="927"/>
      <c r="I13" s="927"/>
      <c r="J13" s="928"/>
      <c r="K13" s="136"/>
      <c r="L13" s="136"/>
    </row>
    <row r="14" spans="1:12" ht="11.2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36"/>
      <c r="L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372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32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155.42613799999998</v>
      </c>
      <c r="I17" s="868"/>
      <c r="J17" s="868"/>
      <c r="K17" s="136"/>
      <c r="L17" s="136"/>
    </row>
    <row r="18" spans="1:12" x14ac:dyDescent="0.25">
      <c r="A18" s="32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225.76905999999997</v>
      </c>
      <c r="I18" s="868"/>
      <c r="J18" s="868"/>
      <c r="K18" s="136"/>
      <c r="L18" s="136"/>
    </row>
    <row r="19" spans="1:12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381.19519799999995</v>
      </c>
      <c r="I19" s="921"/>
      <c r="J19" s="921"/>
      <c r="K19" s="136"/>
      <c r="L19" s="136"/>
    </row>
    <row r="20" spans="1:12" ht="29.25" customHeight="1" thickBot="1" x14ac:dyDescent="0.3">
      <c r="A20" s="32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145.91025200000001</v>
      </c>
      <c r="I20" s="923"/>
      <c r="J20" s="924"/>
      <c r="K20" s="136"/>
      <c r="L20" s="136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284" t="s">
        <v>2</v>
      </c>
      <c r="B22" s="286"/>
      <c r="C22" s="912" t="s">
        <v>3</v>
      </c>
      <c r="D22" s="913"/>
      <c r="E22" s="914">
        <v>0.2</v>
      </c>
      <c r="F22" s="914"/>
      <c r="G22" s="914"/>
      <c r="H22" s="868">
        <f>E22*(E12+H19)</f>
        <v>449.41103960000004</v>
      </c>
      <c r="I22" s="868"/>
      <c r="J22" s="868"/>
      <c r="K22" s="136"/>
      <c r="L22" s="136"/>
    </row>
    <row r="23" spans="1:12" x14ac:dyDescent="0.25">
      <c r="A23" s="284" t="s">
        <v>7</v>
      </c>
      <c r="B23" s="286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56.176379950000005</v>
      </c>
      <c r="I23" s="868"/>
      <c r="J23" s="868"/>
      <c r="K23" s="136"/>
      <c r="L23" s="136"/>
    </row>
    <row r="24" spans="1:12" x14ac:dyDescent="0.25">
      <c r="A24" s="284" t="s">
        <v>8</v>
      </c>
      <c r="B24" s="286"/>
      <c r="C24" s="915" t="s">
        <v>42</v>
      </c>
      <c r="D24" s="916"/>
      <c r="E24" s="917">
        <v>0.03</v>
      </c>
      <c r="F24" s="917"/>
      <c r="G24" s="917"/>
      <c r="H24" s="868">
        <f>E24*(E12+H19)</f>
        <v>67.411655940000003</v>
      </c>
      <c r="I24" s="868"/>
      <c r="J24" s="868"/>
      <c r="K24" s="136"/>
      <c r="L24" s="136"/>
    </row>
    <row r="25" spans="1:12" x14ac:dyDescent="0.25">
      <c r="A25" s="284" t="s">
        <v>9</v>
      </c>
      <c r="B25" s="286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33.705827970000001</v>
      </c>
      <c r="I25" s="868"/>
      <c r="J25" s="868"/>
      <c r="K25" s="136"/>
      <c r="L25" s="136"/>
    </row>
    <row r="26" spans="1:12" x14ac:dyDescent="0.25">
      <c r="A26" s="284" t="s">
        <v>10</v>
      </c>
      <c r="B26" s="286"/>
      <c r="C26" s="284" t="s">
        <v>44</v>
      </c>
      <c r="D26" s="286"/>
      <c r="E26" s="877">
        <v>0.01</v>
      </c>
      <c r="F26" s="877"/>
      <c r="G26" s="877"/>
      <c r="H26" s="868">
        <f>E26*(E12+H19)</f>
        <v>22.47055198</v>
      </c>
      <c r="I26" s="868"/>
      <c r="J26" s="868"/>
      <c r="K26" s="136"/>
      <c r="L26" s="136"/>
    </row>
    <row r="27" spans="1:12" x14ac:dyDescent="0.25">
      <c r="A27" s="284" t="s">
        <v>11</v>
      </c>
      <c r="B27" s="286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13.482331188</v>
      </c>
      <c r="I27" s="868"/>
      <c r="J27" s="868"/>
      <c r="K27" s="136"/>
      <c r="L27" s="136"/>
    </row>
    <row r="28" spans="1:12" x14ac:dyDescent="0.25">
      <c r="A28" s="284" t="s">
        <v>39</v>
      </c>
      <c r="B28" s="286"/>
      <c r="C28" s="284" t="s">
        <v>5</v>
      </c>
      <c r="D28" s="286"/>
      <c r="E28" s="877">
        <v>2E-3</v>
      </c>
      <c r="F28" s="877"/>
      <c r="G28" s="877"/>
      <c r="H28" s="868">
        <f>E28*(E12+H19)</f>
        <v>4.494110396</v>
      </c>
      <c r="I28" s="868"/>
      <c r="J28" s="868"/>
      <c r="K28" s="136"/>
      <c r="L28" s="136"/>
    </row>
    <row r="29" spans="1:12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179.76441584</v>
      </c>
      <c r="I29" s="868"/>
      <c r="J29" s="868"/>
      <c r="K29" s="136"/>
      <c r="L29" s="136"/>
    </row>
    <row r="30" spans="1:12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826.91631286399991</v>
      </c>
      <c r="I30" s="869"/>
      <c r="J30" s="869"/>
      <c r="K30" s="136"/>
      <c r="L30" s="136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284" t="s">
        <v>2</v>
      </c>
      <c r="B32" s="286"/>
      <c r="C32" s="912" t="s">
        <v>46</v>
      </c>
      <c r="D32" s="913"/>
      <c r="E32" s="914"/>
      <c r="F32" s="914"/>
      <c r="G32" s="914"/>
      <c r="H32" s="868">
        <f>(3.9*2*25.5)-6%*E6</f>
        <v>86.948400000000021</v>
      </c>
      <c r="I32" s="868"/>
      <c r="J32" s="868"/>
      <c r="K32" s="136"/>
      <c r="L32" s="136"/>
    </row>
    <row r="33" spans="1:12" x14ac:dyDescent="0.25">
      <c r="A33" s="284" t="s">
        <v>7</v>
      </c>
      <c r="B33" s="286"/>
      <c r="C33" s="284" t="s">
        <v>47</v>
      </c>
      <c r="D33" s="286"/>
      <c r="E33" s="877"/>
      <c r="F33" s="877"/>
      <c r="G33" s="877"/>
      <c r="H33" s="868">
        <f>21.63*25.5-20%</f>
        <v>551.3649999999999</v>
      </c>
      <c r="I33" s="868"/>
      <c r="J33" s="868"/>
      <c r="K33" s="136"/>
      <c r="L33" s="136"/>
    </row>
    <row r="34" spans="1:12" x14ac:dyDescent="0.25">
      <c r="A34" s="284" t="s">
        <v>8</v>
      </c>
      <c r="B34" s="286"/>
      <c r="C34" s="284" t="s">
        <v>49</v>
      </c>
      <c r="D34" s="286"/>
      <c r="E34" s="877"/>
      <c r="F34" s="877"/>
      <c r="G34" s="877"/>
      <c r="H34" s="868">
        <v>0</v>
      </c>
      <c r="I34" s="868"/>
      <c r="J34" s="868"/>
      <c r="K34" s="136"/>
      <c r="L34" s="136"/>
    </row>
    <row r="35" spans="1:12" x14ac:dyDescent="0.25">
      <c r="A35" s="284" t="s">
        <v>9</v>
      </c>
      <c r="B35" s="286"/>
      <c r="C35" s="478" t="s">
        <v>198</v>
      </c>
      <c r="D35" s="479"/>
      <c r="E35" s="877"/>
      <c r="F35" s="877"/>
      <c r="G35" s="877"/>
      <c r="H35" s="868">
        <v>25.95</v>
      </c>
      <c r="I35" s="868"/>
      <c r="J35" s="868"/>
      <c r="K35" s="136"/>
      <c r="L35" s="136"/>
    </row>
    <row r="36" spans="1:12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664.26339999999993</v>
      </c>
      <c r="I36" s="867"/>
      <c r="J36" s="867"/>
      <c r="K36" s="136"/>
      <c r="L36" s="136"/>
    </row>
    <row r="37" spans="1:12" ht="15.75" thickBot="1" x14ac:dyDescent="0.3">
      <c r="A37" s="882" t="s">
        <v>72</v>
      </c>
      <c r="B37" s="883"/>
      <c r="C37" s="883"/>
      <c r="D37" s="925"/>
      <c r="E37" s="938">
        <f>H19+H30+H36</f>
        <v>1872.374910864</v>
      </c>
      <c r="F37" s="885"/>
      <c r="G37" s="885"/>
      <c r="H37" s="885"/>
      <c r="I37" s="885"/>
      <c r="J37" s="886"/>
      <c r="K37" s="136"/>
      <c r="L37" s="136"/>
    </row>
    <row r="38" spans="1:12" ht="11.2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36"/>
      <c r="L38" s="136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4" t="s">
        <v>2</v>
      </c>
      <c r="B40" s="455"/>
      <c r="C40" s="454" t="s">
        <v>51</v>
      </c>
      <c r="D40" s="455"/>
      <c r="E40" s="150"/>
      <c r="F40" s="151"/>
      <c r="G40" s="152"/>
      <c r="H40" s="870">
        <f>E12/12*5%</f>
        <v>7.7744166666666663</v>
      </c>
      <c r="I40" s="871"/>
      <c r="J40" s="455"/>
      <c r="K40" s="136"/>
      <c r="L40" s="136"/>
    </row>
    <row r="41" spans="1:12" x14ac:dyDescent="0.25">
      <c r="A41" s="454" t="s">
        <v>7</v>
      </c>
      <c r="B41" s="455"/>
      <c r="C41" s="454" t="s">
        <v>52</v>
      </c>
      <c r="D41" s="455"/>
      <c r="E41" s="150"/>
      <c r="F41" s="151"/>
      <c r="G41" s="152"/>
      <c r="H41" s="870">
        <f>H40*8%</f>
        <v>0.62195333333333336</v>
      </c>
      <c r="I41" s="871"/>
      <c r="J41" s="455"/>
      <c r="K41" s="136"/>
      <c r="L41" s="136"/>
    </row>
    <row r="42" spans="1:12" ht="28.5" customHeight="1" x14ac:dyDescent="0.25">
      <c r="A42" s="320" t="s">
        <v>8</v>
      </c>
      <c r="B42" s="321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36"/>
      <c r="L42" s="136"/>
    </row>
    <row r="43" spans="1:12" x14ac:dyDescent="0.25">
      <c r="A43" s="876" t="s">
        <v>9</v>
      </c>
      <c r="B43" s="876"/>
      <c r="C43" s="284" t="s">
        <v>54</v>
      </c>
      <c r="D43" s="286"/>
      <c r="E43" s="877"/>
      <c r="F43" s="877"/>
      <c r="G43" s="877"/>
      <c r="H43" s="868">
        <f>E12/30/12*7*100%</f>
        <v>36.280611111111106</v>
      </c>
      <c r="I43" s="868"/>
      <c r="J43" s="868"/>
      <c r="K43" s="136"/>
      <c r="L43" s="136"/>
    </row>
    <row r="44" spans="1:12" ht="29.25" customHeight="1" x14ac:dyDescent="0.25">
      <c r="A44" s="876" t="s">
        <v>10</v>
      </c>
      <c r="B44" s="876"/>
      <c r="C44" s="478" t="s">
        <v>83</v>
      </c>
      <c r="D44" s="479"/>
      <c r="E44" s="877"/>
      <c r="F44" s="877"/>
      <c r="G44" s="877"/>
      <c r="H44" s="868">
        <f>H43*39.8%</f>
        <v>14.43968322222222</v>
      </c>
      <c r="I44" s="868"/>
      <c r="J44" s="868"/>
      <c r="K44" s="136"/>
      <c r="L44" s="136"/>
    </row>
    <row r="45" spans="1:12" ht="33" customHeight="1" thickBot="1" x14ac:dyDescent="0.3">
      <c r="A45" s="526" t="s">
        <v>11</v>
      </c>
      <c r="B45" s="528"/>
      <c r="C45" s="903" t="s">
        <v>53</v>
      </c>
      <c r="D45" s="904"/>
      <c r="E45" s="897"/>
      <c r="F45" s="898"/>
      <c r="G45" s="899"/>
      <c r="H45" s="900">
        <f>E12*5%</f>
        <v>93.293000000000006</v>
      </c>
      <c r="I45" s="901"/>
      <c r="J45" s="902"/>
      <c r="K45" s="136"/>
      <c r="L45" s="136"/>
    </row>
    <row r="46" spans="1:12" ht="15" customHeight="1" thickBot="1" x14ac:dyDescent="0.3">
      <c r="A46" s="507" t="s">
        <v>333</v>
      </c>
      <c r="B46" s="508"/>
      <c r="C46" s="508"/>
      <c r="D46" s="508"/>
      <c r="E46" s="508"/>
      <c r="F46" s="508"/>
      <c r="G46" s="508"/>
      <c r="H46" s="894">
        <f>SUM(H40:J45)</f>
        <v>152.40966433333332</v>
      </c>
      <c r="I46" s="895"/>
      <c r="J46" s="896"/>
      <c r="K46" s="136"/>
      <c r="L46" s="136"/>
    </row>
    <row r="47" spans="1:12" ht="9" customHeight="1" thickBot="1" x14ac:dyDescent="0.3">
      <c r="A47" s="143"/>
      <c r="B47" s="143"/>
      <c r="C47" s="143"/>
      <c r="D47" s="143"/>
      <c r="E47" s="153"/>
      <c r="F47" s="153"/>
      <c r="G47" s="153"/>
      <c r="H47" s="166"/>
      <c r="I47" s="166"/>
      <c r="J47" s="166"/>
      <c r="K47" s="136"/>
      <c r="L47" s="136"/>
    </row>
    <row r="48" spans="1:12" ht="33" customHeight="1" thickBot="1" x14ac:dyDescent="0.3">
      <c r="A48" s="494" t="s">
        <v>373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4" t="s">
        <v>2</v>
      </c>
      <c r="B49" s="455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36"/>
      <c r="L49" s="136"/>
    </row>
    <row r="50" spans="1:12" x14ac:dyDescent="0.25">
      <c r="A50" s="454" t="s">
        <v>7</v>
      </c>
      <c r="B50" s="455"/>
      <c r="C50" s="454" t="s">
        <v>57</v>
      </c>
      <c r="D50" s="455"/>
      <c r="E50" s="150"/>
      <c r="F50" s="151"/>
      <c r="G50" s="152"/>
      <c r="H50" s="870">
        <f>E12/30/12</f>
        <v>5.1829444444444439</v>
      </c>
      <c r="I50" s="871"/>
      <c r="J50" s="455"/>
      <c r="K50" s="136"/>
      <c r="L50" s="136"/>
    </row>
    <row r="51" spans="1:12" x14ac:dyDescent="0.25">
      <c r="A51" s="320" t="s">
        <v>8</v>
      </c>
      <c r="B51" s="321"/>
      <c r="C51" s="320" t="s">
        <v>58</v>
      </c>
      <c r="D51" s="321"/>
      <c r="E51" s="873"/>
      <c r="F51" s="874"/>
      <c r="G51" s="875"/>
      <c r="H51" s="868">
        <f>E12/30/12*5*1.5%</f>
        <v>0.38872083333333329</v>
      </c>
      <c r="I51" s="868"/>
      <c r="J51" s="868"/>
      <c r="K51" s="136"/>
      <c r="L51" s="136"/>
    </row>
    <row r="52" spans="1:12" ht="33.75" customHeight="1" x14ac:dyDescent="0.25">
      <c r="A52" s="876" t="s">
        <v>9</v>
      </c>
      <c r="B52" s="876"/>
      <c r="C52" s="284" t="s">
        <v>59</v>
      </c>
      <c r="D52" s="286"/>
      <c r="E52" s="877"/>
      <c r="F52" s="877"/>
      <c r="G52" s="877"/>
      <c r="H52" s="868">
        <f>E12/30/12*15*8%</f>
        <v>6.2195333333333327</v>
      </c>
      <c r="I52" s="868"/>
      <c r="J52" s="868"/>
      <c r="K52" s="136"/>
      <c r="L52" s="136"/>
    </row>
    <row r="53" spans="1:12" x14ac:dyDescent="0.25">
      <c r="A53" s="876" t="s">
        <v>10</v>
      </c>
      <c r="B53" s="876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36"/>
      <c r="L53" s="136"/>
    </row>
    <row r="54" spans="1:12" x14ac:dyDescent="0.25">
      <c r="A54" s="876" t="s">
        <v>11</v>
      </c>
      <c r="B54" s="876"/>
      <c r="C54" s="478" t="s">
        <v>61</v>
      </c>
      <c r="D54" s="479"/>
      <c r="E54" s="877"/>
      <c r="F54" s="877"/>
      <c r="G54" s="877"/>
      <c r="H54" s="868">
        <f>E12/30/12*5*40%</f>
        <v>10.36588888888889</v>
      </c>
      <c r="I54" s="868"/>
      <c r="J54" s="868"/>
      <c r="K54" s="136"/>
      <c r="L54" s="136"/>
    </row>
    <row r="55" spans="1:12" ht="28.5" customHeight="1" x14ac:dyDescent="0.25">
      <c r="A55" s="876" t="s">
        <v>39</v>
      </c>
      <c r="B55" s="876"/>
      <c r="C55" s="478" t="s">
        <v>62</v>
      </c>
      <c r="D55" s="479"/>
      <c r="E55" s="877"/>
      <c r="F55" s="877"/>
      <c r="G55" s="877"/>
      <c r="H55" s="868">
        <f>SUM(H49:J54)*39.8%</f>
        <v>8.8202066866666655</v>
      </c>
      <c r="I55" s="868"/>
      <c r="J55" s="868"/>
      <c r="K55" s="136"/>
      <c r="L55" s="136"/>
    </row>
    <row r="56" spans="1:12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30.981530019999997</v>
      </c>
      <c r="I56" s="869"/>
      <c r="J56" s="869"/>
      <c r="K56" s="136"/>
      <c r="L56" s="136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0.75" customHeight="1" x14ac:dyDescent="0.25">
      <c r="A58" s="454" t="s">
        <v>2</v>
      </c>
      <c r="B58" s="455"/>
      <c r="C58" s="454" t="s">
        <v>64</v>
      </c>
      <c r="D58" s="455"/>
      <c r="E58" s="150"/>
      <c r="F58" s="151"/>
      <c r="G58" s="152"/>
      <c r="H58" s="870">
        <f>((((E12+(E12/3))*0.3333)/12)*2%)</f>
        <v>1.3819803066666665</v>
      </c>
      <c r="I58" s="871"/>
      <c r="J58" s="455"/>
      <c r="K58" s="136"/>
      <c r="L58" s="136"/>
    </row>
    <row r="59" spans="1:12" ht="43.5" customHeight="1" x14ac:dyDescent="0.25">
      <c r="A59" s="454" t="s">
        <v>7</v>
      </c>
      <c r="B59" s="455"/>
      <c r="C59" s="454" t="s">
        <v>65</v>
      </c>
      <c r="D59" s="455"/>
      <c r="E59" s="150"/>
      <c r="F59" s="151"/>
      <c r="G59" s="152"/>
      <c r="H59" s="870">
        <f>H58*39.8%</f>
        <v>0.55002816205333327</v>
      </c>
      <c r="I59" s="871"/>
      <c r="J59" s="455"/>
      <c r="K59" s="136"/>
      <c r="L59" s="136"/>
    </row>
    <row r="60" spans="1:12" ht="43.5" customHeight="1" x14ac:dyDescent="0.25">
      <c r="A60" s="320" t="s">
        <v>8</v>
      </c>
      <c r="B60" s="321"/>
      <c r="C60" s="454" t="s">
        <v>66</v>
      </c>
      <c r="D60" s="455"/>
      <c r="E60" s="873"/>
      <c r="F60" s="874"/>
      <c r="G60" s="875"/>
      <c r="H60" s="868">
        <f>(((E12+H17)*0.333)*2%)*39.8%</f>
        <v>5.3577827402738389</v>
      </c>
      <c r="I60" s="868"/>
      <c r="J60" s="868"/>
      <c r="K60" s="136"/>
      <c r="L60" s="136"/>
    </row>
    <row r="61" spans="1:12" x14ac:dyDescent="0.25">
      <c r="A61" s="876" t="s">
        <v>9</v>
      </c>
      <c r="B61" s="876"/>
      <c r="C61" s="284" t="s">
        <v>67</v>
      </c>
      <c r="D61" s="286"/>
      <c r="E61" s="877"/>
      <c r="F61" s="877"/>
      <c r="G61" s="877"/>
      <c r="H61" s="868"/>
      <c r="I61" s="868"/>
      <c r="J61" s="868"/>
      <c r="K61" s="136"/>
      <c r="L61" s="136"/>
    </row>
    <row r="62" spans="1:12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7.2897912089938384</v>
      </c>
      <c r="I62" s="869"/>
      <c r="J62" s="869"/>
      <c r="K62" s="136"/>
      <c r="L62" s="136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29.25" customHeight="1" x14ac:dyDescent="0.25">
      <c r="A64" s="454" t="s">
        <v>2</v>
      </c>
      <c r="B64" s="455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36"/>
      <c r="L64" s="136"/>
    </row>
    <row r="65" spans="1:12" ht="29.25" customHeight="1" x14ac:dyDescent="0.25">
      <c r="A65" s="454" t="s">
        <v>7</v>
      </c>
      <c r="B65" s="455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36"/>
      <c r="L65" s="136"/>
    </row>
    <row r="66" spans="1:12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36"/>
      <c r="L66" s="136"/>
    </row>
    <row r="67" spans="1:12" ht="15.75" thickBot="1" x14ac:dyDescent="0.3">
      <c r="A67" s="882" t="s">
        <v>71</v>
      </c>
      <c r="B67" s="883"/>
      <c r="C67" s="883"/>
      <c r="D67" s="883"/>
      <c r="E67" s="884">
        <f>H66+H62+H56</f>
        <v>38.271446518685835</v>
      </c>
      <c r="F67" s="885"/>
      <c r="G67" s="885"/>
      <c r="H67" s="885"/>
      <c r="I67" s="885"/>
      <c r="J67" s="886"/>
      <c r="K67" s="136"/>
      <c r="L67" s="136"/>
    </row>
    <row r="68" spans="1:12" ht="11.2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36"/>
      <c r="L68" s="136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4" t="s">
        <v>2</v>
      </c>
      <c r="B70" s="455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36"/>
      <c r="L70" s="136"/>
    </row>
    <row r="71" spans="1:12" x14ac:dyDescent="0.25">
      <c r="A71" s="454" t="s">
        <v>7</v>
      </c>
      <c r="B71" s="455"/>
      <c r="C71" s="454" t="s">
        <v>75</v>
      </c>
      <c r="D71" s="455"/>
      <c r="E71" s="150"/>
      <c r="F71" s="151"/>
      <c r="G71" s="152"/>
      <c r="H71" s="870"/>
      <c r="I71" s="871"/>
      <c r="J71" s="455"/>
      <c r="K71" s="136"/>
      <c r="L71" s="136"/>
    </row>
    <row r="72" spans="1:12" x14ac:dyDescent="0.25">
      <c r="A72" s="320" t="s">
        <v>8</v>
      </c>
      <c r="B72" s="321"/>
      <c r="C72" s="320" t="s">
        <v>76</v>
      </c>
      <c r="D72" s="321"/>
      <c r="E72" s="873"/>
      <c r="F72" s="874"/>
      <c r="G72" s="875"/>
      <c r="H72" s="868">
        <v>15</v>
      </c>
      <c r="I72" s="868"/>
      <c r="J72" s="868"/>
      <c r="K72" s="136"/>
      <c r="L72" s="136"/>
    </row>
    <row r="73" spans="1:12" ht="15.75" thickBot="1" x14ac:dyDescent="0.3">
      <c r="A73" s="893" t="s">
        <v>9</v>
      </c>
      <c r="B73" s="893"/>
      <c r="C73" s="526" t="s">
        <v>28</v>
      </c>
      <c r="D73" s="528"/>
      <c r="E73" s="887"/>
      <c r="F73" s="887"/>
      <c r="G73" s="887"/>
      <c r="H73" s="888">
        <v>4.5</v>
      </c>
      <c r="I73" s="888"/>
      <c r="J73" s="888"/>
      <c r="K73" s="136"/>
      <c r="L73" s="136"/>
    </row>
    <row r="74" spans="1:12" ht="15" customHeight="1" thickBot="1" x14ac:dyDescent="0.3">
      <c r="A74" s="507" t="s">
        <v>336</v>
      </c>
      <c r="B74" s="508"/>
      <c r="C74" s="508"/>
      <c r="D74" s="508"/>
      <c r="E74" s="508"/>
      <c r="F74" s="508"/>
      <c r="G74" s="508"/>
      <c r="H74" s="894">
        <f>SUM(H70:J73)</f>
        <v>219.5</v>
      </c>
      <c r="I74" s="895"/>
      <c r="J74" s="896"/>
      <c r="K74" s="136"/>
      <c r="L74" s="136"/>
    </row>
    <row r="75" spans="1:12" ht="9.75" customHeight="1" thickBot="1" x14ac:dyDescent="0.3">
      <c r="A75" s="143"/>
      <c r="B75" s="143"/>
      <c r="C75" s="143"/>
      <c r="D75" s="143"/>
      <c r="E75" s="153"/>
      <c r="F75" s="153"/>
      <c r="G75" s="153"/>
      <c r="H75" s="166"/>
      <c r="I75" s="166"/>
      <c r="J75" s="166"/>
      <c r="K75" s="136"/>
      <c r="L75" s="136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4" t="s">
        <v>2</v>
      </c>
      <c r="B77" s="455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290.38912152012136</v>
      </c>
      <c r="I77" s="871"/>
      <c r="J77" s="455"/>
      <c r="K77" s="136"/>
      <c r="L77" s="136"/>
    </row>
    <row r="78" spans="1:12" x14ac:dyDescent="0.25">
      <c r="A78" s="454" t="s">
        <v>7</v>
      </c>
      <c r="B78" s="455"/>
      <c r="C78" s="454" t="s">
        <v>12</v>
      </c>
      <c r="D78" s="455"/>
      <c r="E78" s="889">
        <v>7.5774402686973108E-2</v>
      </c>
      <c r="F78" s="890"/>
      <c r="G78" s="891"/>
      <c r="H78" s="870">
        <f>E78*(H74+E67+H46+E37+E12)</f>
        <v>314.34374614260059</v>
      </c>
      <c r="I78" s="871"/>
      <c r="J78" s="455"/>
      <c r="K78" s="136"/>
      <c r="L78" s="136"/>
    </row>
    <row r="79" spans="1:12" x14ac:dyDescent="0.25">
      <c r="A79" s="320" t="s">
        <v>8</v>
      </c>
      <c r="B79" s="321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4837.8029407766981</v>
      </c>
      <c r="I79" s="868"/>
      <c r="J79" s="868"/>
      <c r="K79" s="136"/>
      <c r="L79" s="136"/>
    </row>
    <row r="80" spans="1:12" x14ac:dyDescent="0.25">
      <c r="A80" s="876" t="s">
        <v>9</v>
      </c>
      <c r="B80" s="876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62.035049999999998</v>
      </c>
      <c r="I80" s="868"/>
      <c r="J80" s="868"/>
      <c r="K80" s="136"/>
      <c r="L80" s="136"/>
    </row>
    <row r="81" spans="1:12" x14ac:dyDescent="0.25">
      <c r="A81" s="876" t="s">
        <v>9</v>
      </c>
      <c r="B81" s="876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285.73719999999997</v>
      </c>
      <c r="I81" s="868"/>
      <c r="J81" s="868"/>
      <c r="K81" s="136"/>
      <c r="L81" s="136"/>
    </row>
    <row r="82" spans="1:12" x14ac:dyDescent="0.25">
      <c r="A82" s="876" t="s">
        <v>10</v>
      </c>
      <c r="B82" s="876"/>
      <c r="C82" s="284" t="s">
        <v>81</v>
      </c>
      <c r="D82" s="286"/>
      <c r="E82" s="877"/>
      <c r="F82" s="877"/>
      <c r="G82" s="877"/>
      <c r="H82" s="868"/>
      <c r="I82" s="868"/>
      <c r="J82" s="868"/>
      <c r="K82" s="136"/>
      <c r="L82" s="136"/>
    </row>
    <row r="83" spans="1:12" ht="15.75" thickBot="1" x14ac:dyDescent="0.3">
      <c r="A83" s="893" t="s">
        <v>11</v>
      </c>
      <c r="B83" s="893"/>
      <c r="C83" s="526" t="s">
        <v>82</v>
      </c>
      <c r="D83" s="528"/>
      <c r="E83" s="887">
        <v>0.05</v>
      </c>
      <c r="F83" s="887"/>
      <c r="G83" s="887"/>
      <c r="H83" s="888">
        <f>E83*D88</f>
        <v>187.98500000000001</v>
      </c>
      <c r="I83" s="888"/>
      <c r="J83" s="888"/>
      <c r="K83" s="136"/>
      <c r="L83" s="136"/>
    </row>
    <row r="84" spans="1:12" ht="12.75" customHeight="1" thickBot="1" x14ac:dyDescent="0.3">
      <c r="A84" s="507" t="s">
        <v>340</v>
      </c>
      <c r="B84" s="508"/>
      <c r="C84" s="508"/>
      <c r="D84" s="508"/>
      <c r="E84" s="508"/>
      <c r="F84" s="508"/>
      <c r="G84" s="508"/>
      <c r="H84" s="894">
        <f>H77+H78+H80+H81+H83</f>
        <v>1140.4901176627218</v>
      </c>
      <c r="I84" s="895"/>
      <c r="J84" s="896"/>
      <c r="K84" s="136"/>
      <c r="L84" s="136"/>
    </row>
    <row r="85" spans="1:12" ht="11.25" customHeight="1" thickBot="1" x14ac:dyDescent="0.3">
      <c r="A85" s="143"/>
      <c r="B85" s="143"/>
      <c r="C85" s="143"/>
      <c r="D85" s="143"/>
      <c r="E85" s="153"/>
      <c r="F85" s="153"/>
      <c r="G85" s="153"/>
      <c r="H85" s="166"/>
      <c r="I85" s="166"/>
      <c r="J85" s="166"/>
      <c r="K85" s="136"/>
      <c r="L85" s="136"/>
    </row>
    <row r="86" spans="1:12" ht="15.75" thickBot="1" x14ac:dyDescent="0.3">
      <c r="A86" s="939" t="s">
        <v>85</v>
      </c>
      <c r="B86" s="940"/>
      <c r="C86" s="940"/>
      <c r="D86" s="940"/>
      <c r="E86" s="940"/>
      <c r="F86" s="940"/>
      <c r="G86" s="940"/>
      <c r="H86" s="941">
        <f>SUM(H84+H74+E67+H46+E37+E12)</f>
        <v>5288.9061393787406</v>
      </c>
      <c r="I86" s="942"/>
      <c r="J86" s="943"/>
      <c r="K86" s="136"/>
      <c r="L86" s="136"/>
    </row>
    <row r="87" spans="1:12" x14ac:dyDescent="0.25">
      <c r="A87" s="136"/>
      <c r="B87" s="136"/>
      <c r="C87" s="136"/>
      <c r="D87" s="136"/>
      <c r="E87" s="164"/>
      <c r="F87" s="164"/>
      <c r="G87" s="164"/>
      <c r="H87" s="136"/>
      <c r="I87" s="136"/>
      <c r="J87" s="136"/>
      <c r="K87" s="136"/>
      <c r="L87" s="136"/>
    </row>
    <row r="88" spans="1:12" x14ac:dyDescent="0.25">
      <c r="A88" s="136"/>
      <c r="B88" s="136"/>
      <c r="C88" s="136"/>
      <c r="D88" s="165">
        <v>3759.7</v>
      </c>
      <c r="E88" s="164"/>
      <c r="F88" s="164"/>
      <c r="G88" s="164"/>
      <c r="H88" s="136"/>
      <c r="I88" s="136"/>
      <c r="J88" s="136"/>
      <c r="K88" s="136"/>
      <c r="L88" s="136"/>
    </row>
    <row r="89" spans="1:12" x14ac:dyDescent="0.25">
      <c r="A89" s="136"/>
      <c r="B89" s="136"/>
      <c r="C89" s="136"/>
      <c r="D89" s="136"/>
      <c r="E89" s="164"/>
      <c r="F89" s="164"/>
      <c r="G89" s="164"/>
      <c r="H89" s="136"/>
      <c r="I89" s="136"/>
      <c r="J89" s="136"/>
      <c r="K89" s="136"/>
      <c r="L89" s="136"/>
    </row>
    <row r="90" spans="1:12" x14ac:dyDescent="0.25">
      <c r="A90" s="136"/>
      <c r="B90" s="136"/>
      <c r="C90" s="136"/>
      <c r="D90" s="136"/>
      <c r="E90" s="164"/>
      <c r="F90" s="164"/>
      <c r="G90" s="164"/>
      <c r="H90" s="136"/>
      <c r="I90" s="136"/>
      <c r="J90" s="136"/>
      <c r="K90" s="136"/>
      <c r="L90" s="136"/>
    </row>
    <row r="91" spans="1:12" x14ac:dyDescent="0.25">
      <c r="A91" s="136"/>
      <c r="B91" s="136"/>
      <c r="C91" s="136"/>
      <c r="D91" s="136"/>
      <c r="E91" s="164"/>
      <c r="F91" s="164"/>
      <c r="G91" s="164"/>
      <c r="H91" s="136"/>
      <c r="I91" s="136"/>
      <c r="J91" s="136"/>
      <c r="K91" s="136"/>
      <c r="L91" s="136"/>
    </row>
    <row r="92" spans="1:12" ht="15.75" thickBot="1" x14ac:dyDescent="0.3">
      <c r="A92" s="136"/>
      <c r="B92" s="136"/>
      <c r="C92" s="136"/>
      <c r="D92" s="136"/>
      <c r="E92" s="164"/>
      <c r="F92" s="164"/>
      <c r="G92" s="164"/>
      <c r="H92" s="136"/>
      <c r="I92" s="136"/>
      <c r="J92" s="136"/>
      <c r="K92" s="136"/>
      <c r="L92" s="136"/>
    </row>
  </sheetData>
  <mergeCells count="230">
    <mergeCell ref="A1:J1"/>
    <mergeCell ref="A2:C2"/>
    <mergeCell ref="D2:J2"/>
    <mergeCell ref="A3:J3"/>
    <mergeCell ref="A84:G84"/>
    <mergeCell ref="A74:G74"/>
    <mergeCell ref="A46:G46"/>
    <mergeCell ref="A80:B80"/>
    <mergeCell ref="C80:D80"/>
    <mergeCell ref="E80:G80"/>
    <mergeCell ref="H80:J80"/>
    <mergeCell ref="A81:B81"/>
    <mergeCell ref="C81:D81"/>
    <mergeCell ref="E81:G81"/>
    <mergeCell ref="H81:J81"/>
    <mergeCell ref="A77:B77"/>
    <mergeCell ref="C77:D77"/>
    <mergeCell ref="A78:B78"/>
    <mergeCell ref="C78:D78"/>
    <mergeCell ref="E78:G78"/>
    <mergeCell ref="H78:J78"/>
    <mergeCell ref="A79:B79"/>
    <mergeCell ref="C79:D79"/>
    <mergeCell ref="E79:G79"/>
    <mergeCell ref="A86:G86"/>
    <mergeCell ref="H86:J86"/>
    <mergeCell ref="A82:B82"/>
    <mergeCell ref="C82:D82"/>
    <mergeCell ref="E82:G82"/>
    <mergeCell ref="H82:J82"/>
    <mergeCell ref="A83:B83"/>
    <mergeCell ref="C83:D83"/>
    <mergeCell ref="E83:G83"/>
    <mergeCell ref="H83:J83"/>
    <mergeCell ref="H84:J84"/>
    <mergeCell ref="H79:J79"/>
    <mergeCell ref="A52:B52"/>
    <mergeCell ref="C52:D52"/>
    <mergeCell ref="E52:G52"/>
    <mergeCell ref="H52:J52"/>
    <mergeCell ref="A53:B53"/>
    <mergeCell ref="C53:D53"/>
    <mergeCell ref="A54:B54"/>
    <mergeCell ref="C54:D54"/>
    <mergeCell ref="E54:G54"/>
    <mergeCell ref="H54:J54"/>
    <mergeCell ref="H58:J58"/>
    <mergeCell ref="H59:J59"/>
    <mergeCell ref="E53:G53"/>
    <mergeCell ref="H53:J53"/>
    <mergeCell ref="H56:J56"/>
    <mergeCell ref="A55:B55"/>
    <mergeCell ref="C55:D55"/>
    <mergeCell ref="E55:G55"/>
    <mergeCell ref="H55:J55"/>
    <mergeCell ref="A56:D56"/>
    <mergeCell ref="E56:G56"/>
    <mergeCell ref="A57:J57"/>
    <mergeCell ref="A58:B58"/>
    <mergeCell ref="A37:D37"/>
    <mergeCell ref="E37:J37"/>
    <mergeCell ref="A39:J39"/>
    <mergeCell ref="A40:B40"/>
    <mergeCell ref="C40:D40"/>
    <mergeCell ref="A41:B41"/>
    <mergeCell ref="C41:D41"/>
    <mergeCell ref="H41:J41"/>
    <mergeCell ref="A42:B42"/>
    <mergeCell ref="C42:D42"/>
    <mergeCell ref="E42:G42"/>
    <mergeCell ref="H42:J42"/>
    <mergeCell ref="A23:B23"/>
    <mergeCell ref="A24:B24"/>
    <mergeCell ref="A25:B25"/>
    <mergeCell ref="A26:B26"/>
    <mergeCell ref="A27:B27"/>
    <mergeCell ref="A28:B28"/>
    <mergeCell ref="A29:B29"/>
    <mergeCell ref="C29:D29"/>
    <mergeCell ref="A30:D30"/>
    <mergeCell ref="C25:D25"/>
    <mergeCell ref="A4:J4"/>
    <mergeCell ref="A5:J5"/>
    <mergeCell ref="B6:D6"/>
    <mergeCell ref="B7:D7"/>
    <mergeCell ref="B8:D8"/>
    <mergeCell ref="E8:J8"/>
    <mergeCell ref="B9:D9"/>
    <mergeCell ref="E9:J9"/>
    <mergeCell ref="B10:D10"/>
    <mergeCell ref="E10:J10"/>
    <mergeCell ref="E6:J6"/>
    <mergeCell ref="E7:J7"/>
    <mergeCell ref="B11:D11"/>
    <mergeCell ref="E11:J11"/>
    <mergeCell ref="A12:D12"/>
    <mergeCell ref="E12:J12"/>
    <mergeCell ref="A13:D13"/>
    <mergeCell ref="E13:J13"/>
    <mergeCell ref="A14:J14"/>
    <mergeCell ref="A15:J15"/>
    <mergeCell ref="A16:J16"/>
    <mergeCell ref="C22:D22"/>
    <mergeCell ref="E22:G22"/>
    <mergeCell ref="H22:J22"/>
    <mergeCell ref="E17:G17"/>
    <mergeCell ref="H17:J17"/>
    <mergeCell ref="E18:G18"/>
    <mergeCell ref="H18:J18"/>
    <mergeCell ref="B17:D17"/>
    <mergeCell ref="B18:D18"/>
    <mergeCell ref="A19:G19"/>
    <mergeCell ref="H19:J19"/>
    <mergeCell ref="B20:D20"/>
    <mergeCell ref="E20:G20"/>
    <mergeCell ref="H20:J20"/>
    <mergeCell ref="A21:J21"/>
    <mergeCell ref="A22:B22"/>
    <mergeCell ref="E25:G25"/>
    <mergeCell ref="H25:J25"/>
    <mergeCell ref="C26:D26"/>
    <mergeCell ref="E26:G26"/>
    <mergeCell ref="H26:J26"/>
    <mergeCell ref="C23:D23"/>
    <mergeCell ref="E23:G23"/>
    <mergeCell ref="H23:J23"/>
    <mergeCell ref="C24:D24"/>
    <mergeCell ref="E24:G24"/>
    <mergeCell ref="H24:J24"/>
    <mergeCell ref="E29:G29"/>
    <mergeCell ref="H29:J29"/>
    <mergeCell ref="A31:J31"/>
    <mergeCell ref="C32:D32"/>
    <mergeCell ref="E32:G32"/>
    <mergeCell ref="H32:J32"/>
    <mergeCell ref="C27:D27"/>
    <mergeCell ref="E27:G27"/>
    <mergeCell ref="H27:J27"/>
    <mergeCell ref="C28:D28"/>
    <mergeCell ref="E28:G28"/>
    <mergeCell ref="H28:J28"/>
    <mergeCell ref="E30:G30"/>
    <mergeCell ref="H30:J30"/>
    <mergeCell ref="A32:B32"/>
    <mergeCell ref="A33:B33"/>
    <mergeCell ref="A34:B34"/>
    <mergeCell ref="A35:B35"/>
    <mergeCell ref="A36:G36"/>
    <mergeCell ref="C43:D43"/>
    <mergeCell ref="E43:G43"/>
    <mergeCell ref="H43:J43"/>
    <mergeCell ref="C44:D44"/>
    <mergeCell ref="E44:G44"/>
    <mergeCell ref="H44:J44"/>
    <mergeCell ref="A38:J38"/>
    <mergeCell ref="H40:J40"/>
    <mergeCell ref="A43:B43"/>
    <mergeCell ref="A44:B44"/>
    <mergeCell ref="C35:D35"/>
    <mergeCell ref="E35:G35"/>
    <mergeCell ref="H35:J35"/>
    <mergeCell ref="H36:J36"/>
    <mergeCell ref="C33:D33"/>
    <mergeCell ref="E33:G33"/>
    <mergeCell ref="H33:J33"/>
    <mergeCell ref="C34:D34"/>
    <mergeCell ref="E34:G34"/>
    <mergeCell ref="H34:J34"/>
    <mergeCell ref="H49:J49"/>
    <mergeCell ref="E51:G51"/>
    <mergeCell ref="H51:J51"/>
    <mergeCell ref="E45:G45"/>
    <mergeCell ref="H45:J45"/>
    <mergeCell ref="A45:B45"/>
    <mergeCell ref="C45:D45"/>
    <mergeCell ref="H46:J46"/>
    <mergeCell ref="A48:J48"/>
    <mergeCell ref="A49:B49"/>
    <mergeCell ref="C49:D49"/>
    <mergeCell ref="A50:B50"/>
    <mergeCell ref="C50:D50"/>
    <mergeCell ref="H50:J50"/>
    <mergeCell ref="A51:B51"/>
    <mergeCell ref="C51:D51"/>
    <mergeCell ref="C58:D58"/>
    <mergeCell ref="A59:B59"/>
    <mergeCell ref="C59:D59"/>
    <mergeCell ref="A67:D67"/>
    <mergeCell ref="E67:J67"/>
    <mergeCell ref="E73:G73"/>
    <mergeCell ref="H73:J73"/>
    <mergeCell ref="E77:G77"/>
    <mergeCell ref="H77:J77"/>
    <mergeCell ref="A70:B70"/>
    <mergeCell ref="C70:D70"/>
    <mergeCell ref="E70:G70"/>
    <mergeCell ref="H70:J70"/>
    <mergeCell ref="H71:J71"/>
    <mergeCell ref="A69:J69"/>
    <mergeCell ref="A71:B71"/>
    <mergeCell ref="C71:D71"/>
    <mergeCell ref="A72:B72"/>
    <mergeCell ref="C72:D72"/>
    <mergeCell ref="E72:G72"/>
    <mergeCell ref="H72:J72"/>
    <mergeCell ref="A73:B73"/>
    <mergeCell ref="C73:D73"/>
    <mergeCell ref="H74:J74"/>
    <mergeCell ref="A76:J76"/>
    <mergeCell ref="E66:G66"/>
    <mergeCell ref="H66:J66"/>
    <mergeCell ref="H60:J60"/>
    <mergeCell ref="H62:J62"/>
    <mergeCell ref="A65:B65"/>
    <mergeCell ref="C65:D65"/>
    <mergeCell ref="H65:J65"/>
    <mergeCell ref="A63:J63"/>
    <mergeCell ref="A64:B64"/>
    <mergeCell ref="C64:D64"/>
    <mergeCell ref="H64:J64"/>
    <mergeCell ref="A66:D66"/>
    <mergeCell ref="A60:B60"/>
    <mergeCell ref="C60:D60"/>
    <mergeCell ref="E60:G60"/>
    <mergeCell ref="A61:B61"/>
    <mergeCell ref="C61:D61"/>
    <mergeCell ref="E61:G61"/>
    <mergeCell ref="H61:J61"/>
    <mergeCell ref="A62:D62"/>
    <mergeCell ref="E62:G62"/>
  </mergeCells>
  <pageMargins left="1.02362204724409" right="0.62992125984252001" top="1.37795275590551" bottom="1.37795275590551" header="0.511811023622047" footer="0.511811023622047"/>
  <pageSetup paperSize="9" fitToHeight="0" orientation="portrait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4659260841701"/>
  </sheetPr>
  <dimension ref="A1:L92"/>
  <sheetViews>
    <sheetView topLeftCell="A61" workbookViewId="0">
      <selection activeCell="M79" sqref="M79"/>
    </sheetView>
  </sheetViews>
  <sheetFormatPr defaultRowHeight="15" x14ac:dyDescent="0.25"/>
  <cols>
    <col min="1" max="1" width="6.7109375" style="134" customWidth="1"/>
    <col min="2" max="2" width="3.140625" style="134" customWidth="1"/>
    <col min="3" max="3" width="10.42578125" style="134" customWidth="1"/>
    <col min="4" max="4" width="41.7109375" style="134" customWidth="1"/>
    <col min="5" max="7" width="3.140625" style="116" customWidth="1"/>
    <col min="8" max="8" width="4" style="134" customWidth="1"/>
    <col min="9" max="9" width="0.85546875" style="134" customWidth="1"/>
    <col min="10" max="10" width="6.570312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123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36"/>
      <c r="L5" s="136"/>
    </row>
    <row r="6" spans="1:12" x14ac:dyDescent="0.25">
      <c r="A6" s="139" t="s">
        <v>2</v>
      </c>
      <c r="B6" s="929" t="s">
        <v>1</v>
      </c>
      <c r="C6" s="930"/>
      <c r="D6" s="931"/>
      <c r="E6" s="936">
        <v>1832.02</v>
      </c>
      <c r="F6" s="937"/>
      <c r="G6" s="937"/>
      <c r="H6" s="937"/>
      <c r="I6" s="937"/>
      <c r="J6" s="937"/>
      <c r="K6" s="136"/>
      <c r="L6" s="136"/>
    </row>
    <row r="7" spans="1:12" x14ac:dyDescent="0.25">
      <c r="A7" s="139" t="s">
        <v>7</v>
      </c>
      <c r="B7" s="929" t="s">
        <v>25</v>
      </c>
      <c r="C7" s="930"/>
      <c r="D7" s="931"/>
      <c r="E7" s="932"/>
      <c r="F7" s="933"/>
      <c r="G7" s="933"/>
      <c r="H7" s="933"/>
      <c r="I7" s="933"/>
      <c r="J7" s="934"/>
      <c r="K7" s="136"/>
      <c r="L7" s="136"/>
    </row>
    <row r="8" spans="1:12" x14ac:dyDescent="0.25">
      <c r="A8" s="139" t="s">
        <v>8</v>
      </c>
      <c r="B8" s="929" t="s">
        <v>26</v>
      </c>
      <c r="C8" s="930"/>
      <c r="D8" s="931"/>
      <c r="E8" s="932"/>
      <c r="F8" s="933"/>
      <c r="G8" s="933"/>
      <c r="H8" s="933"/>
      <c r="I8" s="933"/>
      <c r="J8" s="934"/>
      <c r="K8" s="136"/>
      <c r="L8" s="136"/>
    </row>
    <row r="9" spans="1:12" x14ac:dyDescent="0.25">
      <c r="A9" s="139" t="s">
        <v>9</v>
      </c>
      <c r="B9" s="929" t="s">
        <v>27</v>
      </c>
      <c r="C9" s="930"/>
      <c r="D9" s="931"/>
      <c r="E9" s="932"/>
      <c r="F9" s="933"/>
      <c r="G9" s="933"/>
      <c r="H9" s="933"/>
      <c r="I9" s="933"/>
      <c r="J9" s="934"/>
      <c r="K9" s="136"/>
      <c r="L9" s="136"/>
    </row>
    <row r="10" spans="1:12" x14ac:dyDescent="0.25">
      <c r="A10" s="139" t="s">
        <v>10</v>
      </c>
      <c r="B10" s="929" t="s">
        <v>28</v>
      </c>
      <c r="C10" s="930"/>
      <c r="D10" s="931"/>
      <c r="E10" s="935"/>
      <c r="F10" s="935"/>
      <c r="G10" s="935"/>
      <c r="H10" s="935"/>
      <c r="I10" s="935"/>
      <c r="J10" s="935"/>
      <c r="K10" s="136"/>
      <c r="L10" s="136"/>
    </row>
    <row r="11" spans="1:12" ht="27.75" customHeight="1" thickBot="1" x14ac:dyDescent="0.3">
      <c r="A11" s="141" t="s">
        <v>11</v>
      </c>
      <c r="B11" s="609" t="s">
        <v>92</v>
      </c>
      <c r="C11" s="610"/>
      <c r="D11" s="611"/>
      <c r="E11" s="893"/>
      <c r="F11" s="893"/>
      <c r="G11" s="893"/>
      <c r="H11" s="893"/>
      <c r="I11" s="893"/>
      <c r="J11" s="893"/>
      <c r="K11" s="136"/>
      <c r="L11" s="136"/>
    </row>
    <row r="12" spans="1:12" ht="15.75" thickBot="1" x14ac:dyDescent="0.3">
      <c r="A12" s="882" t="s">
        <v>330</v>
      </c>
      <c r="B12" s="883"/>
      <c r="C12" s="883"/>
      <c r="D12" s="947"/>
      <c r="E12" s="894">
        <f>SUM(E6:J11)</f>
        <v>1832.02</v>
      </c>
      <c r="F12" s="895"/>
      <c r="G12" s="895"/>
      <c r="H12" s="895"/>
      <c r="I12" s="895"/>
      <c r="J12" s="896"/>
      <c r="K12" s="136"/>
      <c r="L12" s="136"/>
    </row>
    <row r="13" spans="1:12" ht="29.25" customHeight="1" x14ac:dyDescent="0.25">
      <c r="A13" s="551" t="s">
        <v>29</v>
      </c>
      <c r="B13" s="715"/>
      <c r="C13" s="715"/>
      <c r="D13" s="716"/>
      <c r="E13" s="926">
        <f>E12*E30</f>
        <v>674.18336000000011</v>
      </c>
      <c r="F13" s="927"/>
      <c r="G13" s="927"/>
      <c r="H13" s="927"/>
      <c r="I13" s="927"/>
      <c r="J13" s="928"/>
      <c r="K13" s="136"/>
      <c r="L13" s="136"/>
    </row>
    <row r="14" spans="1:12" ht="10.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36"/>
      <c r="L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374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152.60726600000001</v>
      </c>
      <c r="I17" s="868"/>
      <c r="J17" s="868"/>
      <c r="K17" s="136"/>
      <c r="L17" s="136"/>
    </row>
    <row r="18" spans="1:12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221.67442</v>
      </c>
      <c r="I18" s="868"/>
      <c r="J18" s="868"/>
      <c r="K18" s="136"/>
      <c r="L18" s="136"/>
    </row>
    <row r="19" spans="1:12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374.28168600000004</v>
      </c>
      <c r="I19" s="921"/>
      <c r="J19" s="921"/>
      <c r="K19" s="136"/>
      <c r="L19" s="136"/>
    </row>
    <row r="20" spans="1:12" ht="27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143.26396400000002</v>
      </c>
      <c r="I20" s="923"/>
      <c r="J20" s="924"/>
      <c r="K20" s="136"/>
      <c r="L20" s="136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284" t="s">
        <v>2</v>
      </c>
      <c r="B22" s="286"/>
      <c r="C22" s="912" t="s">
        <v>3</v>
      </c>
      <c r="D22" s="913"/>
      <c r="E22" s="914">
        <v>0.2</v>
      </c>
      <c r="F22" s="914"/>
      <c r="G22" s="914"/>
      <c r="H22" s="868">
        <f>E22*(E12+H19)</f>
        <v>441.26033719999998</v>
      </c>
      <c r="I22" s="868"/>
      <c r="J22" s="868"/>
      <c r="K22" s="136"/>
      <c r="L22" s="136"/>
    </row>
    <row r="23" spans="1:12" x14ac:dyDescent="0.25">
      <c r="A23" s="284" t="s">
        <v>7</v>
      </c>
      <c r="B23" s="286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55.157542149999998</v>
      </c>
      <c r="I23" s="868"/>
      <c r="J23" s="868"/>
      <c r="K23" s="136"/>
      <c r="L23" s="136"/>
    </row>
    <row r="24" spans="1:12" x14ac:dyDescent="0.25">
      <c r="A24" s="284" t="s">
        <v>8</v>
      </c>
      <c r="B24" s="286"/>
      <c r="C24" s="915" t="s">
        <v>42</v>
      </c>
      <c r="D24" s="916"/>
      <c r="E24" s="917">
        <v>0.03</v>
      </c>
      <c r="F24" s="917"/>
      <c r="G24" s="917"/>
      <c r="H24" s="868">
        <f>E24*(E12+H19)</f>
        <v>66.189050579999986</v>
      </c>
      <c r="I24" s="868"/>
      <c r="J24" s="868"/>
      <c r="K24" s="136"/>
      <c r="L24" s="136"/>
    </row>
    <row r="25" spans="1:12" x14ac:dyDescent="0.25">
      <c r="A25" s="284" t="s">
        <v>9</v>
      </c>
      <c r="B25" s="286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33.094525289999993</v>
      </c>
      <c r="I25" s="868"/>
      <c r="J25" s="868"/>
      <c r="K25" s="136"/>
      <c r="L25" s="136"/>
    </row>
    <row r="26" spans="1:12" x14ac:dyDescent="0.25">
      <c r="A26" s="284" t="s">
        <v>10</v>
      </c>
      <c r="B26" s="286"/>
      <c r="C26" s="284" t="s">
        <v>44</v>
      </c>
      <c r="D26" s="286"/>
      <c r="E26" s="877">
        <v>0.01</v>
      </c>
      <c r="F26" s="877"/>
      <c r="G26" s="877"/>
      <c r="H26" s="868">
        <f>E26*(E12+H19)</f>
        <v>22.063016859999998</v>
      </c>
      <c r="I26" s="868"/>
      <c r="J26" s="868"/>
      <c r="K26" s="136"/>
      <c r="L26" s="136"/>
    </row>
    <row r="27" spans="1:12" x14ac:dyDescent="0.25">
      <c r="A27" s="284" t="s">
        <v>11</v>
      </c>
      <c r="B27" s="286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13.237810115999999</v>
      </c>
      <c r="I27" s="868"/>
      <c r="J27" s="868"/>
      <c r="K27" s="136"/>
      <c r="L27" s="136"/>
    </row>
    <row r="28" spans="1:12" x14ac:dyDescent="0.25">
      <c r="A28" s="284" t="s">
        <v>39</v>
      </c>
      <c r="B28" s="286"/>
      <c r="C28" s="284" t="s">
        <v>5</v>
      </c>
      <c r="D28" s="286"/>
      <c r="E28" s="877">
        <v>2E-3</v>
      </c>
      <c r="F28" s="877"/>
      <c r="G28" s="877"/>
      <c r="H28" s="868">
        <f>E28*(E12+H19)</f>
        <v>4.4126033719999995</v>
      </c>
      <c r="I28" s="868"/>
      <c r="J28" s="868"/>
      <c r="K28" s="136"/>
      <c r="L28" s="136"/>
    </row>
    <row r="29" spans="1:12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176.50413487999998</v>
      </c>
      <c r="I29" s="868"/>
      <c r="J29" s="868"/>
      <c r="K29" s="136"/>
      <c r="L29" s="136"/>
    </row>
    <row r="30" spans="1:12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811.91902044799986</v>
      </c>
      <c r="I30" s="869"/>
      <c r="J30" s="869"/>
      <c r="K30" s="136"/>
      <c r="L30" s="136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284" t="s">
        <v>2</v>
      </c>
      <c r="B32" s="286"/>
      <c r="C32" s="912" t="s">
        <v>46</v>
      </c>
      <c r="D32" s="913"/>
      <c r="E32" s="914"/>
      <c r="F32" s="914"/>
      <c r="G32" s="914"/>
      <c r="H32" s="868">
        <f>(3.9*2*25.5)-6%*E6</f>
        <v>88.978800000000007</v>
      </c>
      <c r="I32" s="868"/>
      <c r="J32" s="868"/>
      <c r="K32" s="136"/>
      <c r="L32" s="136"/>
    </row>
    <row r="33" spans="1:12" x14ac:dyDescent="0.25">
      <c r="A33" s="284" t="s">
        <v>7</v>
      </c>
      <c r="B33" s="286"/>
      <c r="C33" s="284" t="s">
        <v>47</v>
      </c>
      <c r="D33" s="286"/>
      <c r="E33" s="877"/>
      <c r="F33" s="877"/>
      <c r="G33" s="877"/>
      <c r="H33" s="868">
        <f>21.63*25.5-20%</f>
        <v>551.3649999999999</v>
      </c>
      <c r="I33" s="868"/>
      <c r="J33" s="868"/>
      <c r="K33" s="136"/>
      <c r="L33" s="136"/>
    </row>
    <row r="34" spans="1:12" x14ac:dyDescent="0.25">
      <c r="A34" s="284" t="s">
        <v>8</v>
      </c>
      <c r="B34" s="286"/>
      <c r="C34" s="284" t="s">
        <v>49</v>
      </c>
      <c r="D34" s="286"/>
      <c r="E34" s="877"/>
      <c r="F34" s="877"/>
      <c r="G34" s="877"/>
      <c r="H34" s="868"/>
      <c r="I34" s="868"/>
      <c r="J34" s="868"/>
      <c r="K34" s="136"/>
      <c r="L34" s="136"/>
    </row>
    <row r="35" spans="1:12" x14ac:dyDescent="0.25">
      <c r="A35" s="284" t="s">
        <v>9</v>
      </c>
      <c r="B35" s="286"/>
      <c r="C35" s="478" t="s">
        <v>119</v>
      </c>
      <c r="D35" s="479"/>
      <c r="E35" s="877"/>
      <c r="F35" s="877"/>
      <c r="G35" s="877"/>
      <c r="H35" s="868">
        <v>25.95</v>
      </c>
      <c r="I35" s="868"/>
      <c r="J35" s="868"/>
      <c r="K35" s="136"/>
      <c r="L35" s="136"/>
    </row>
    <row r="36" spans="1:12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666.29379999999992</v>
      </c>
      <c r="I36" s="867"/>
      <c r="J36" s="867"/>
      <c r="K36" s="136"/>
      <c r="L36" s="136"/>
    </row>
    <row r="37" spans="1:12" ht="15.75" thickBot="1" x14ac:dyDescent="0.3">
      <c r="A37" s="882" t="s">
        <v>72</v>
      </c>
      <c r="B37" s="883"/>
      <c r="C37" s="883"/>
      <c r="D37" s="947"/>
      <c r="E37" s="938">
        <f>H19+H30+H36</f>
        <v>1852.4945064479998</v>
      </c>
      <c r="F37" s="885"/>
      <c r="G37" s="885"/>
      <c r="H37" s="885"/>
      <c r="I37" s="885"/>
      <c r="J37" s="886"/>
      <c r="K37" s="136"/>
      <c r="L37" s="136"/>
    </row>
    <row r="38" spans="1:12" ht="10.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36"/>
      <c r="L38" s="136"/>
    </row>
    <row r="39" spans="1:12" ht="26.25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4" t="s">
        <v>2</v>
      </c>
      <c r="B40" s="455"/>
      <c r="C40" s="454" t="s">
        <v>51</v>
      </c>
      <c r="D40" s="455"/>
      <c r="E40" s="150"/>
      <c r="F40" s="151"/>
      <c r="G40" s="152"/>
      <c r="H40" s="870">
        <f>E12/12*5%</f>
        <v>7.6334166666666663</v>
      </c>
      <c r="I40" s="871"/>
      <c r="J40" s="455"/>
      <c r="K40" s="136"/>
      <c r="L40" s="136"/>
    </row>
    <row r="41" spans="1:12" x14ac:dyDescent="0.25">
      <c r="A41" s="454" t="s">
        <v>7</v>
      </c>
      <c r="B41" s="455"/>
      <c r="C41" s="454" t="s">
        <v>52</v>
      </c>
      <c r="D41" s="455"/>
      <c r="E41" s="150"/>
      <c r="F41" s="151"/>
      <c r="G41" s="152"/>
      <c r="H41" s="870">
        <f>H40*8%</f>
        <v>0.61067333333333329</v>
      </c>
      <c r="I41" s="871"/>
      <c r="J41" s="455"/>
      <c r="K41" s="136"/>
      <c r="L41" s="136"/>
    </row>
    <row r="42" spans="1:12" ht="28.5" customHeight="1" x14ac:dyDescent="0.25">
      <c r="A42" s="320" t="s">
        <v>8</v>
      </c>
      <c r="B42" s="321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36"/>
      <c r="L42" s="136"/>
    </row>
    <row r="43" spans="1:12" x14ac:dyDescent="0.25">
      <c r="A43" s="876" t="s">
        <v>9</v>
      </c>
      <c r="B43" s="876"/>
      <c r="C43" s="284" t="s">
        <v>54</v>
      </c>
      <c r="D43" s="286"/>
      <c r="E43" s="877"/>
      <c r="F43" s="877"/>
      <c r="G43" s="877"/>
      <c r="H43" s="868">
        <f>E12/30/12*7*100%</f>
        <v>35.622611111111112</v>
      </c>
      <c r="I43" s="868"/>
      <c r="J43" s="868"/>
      <c r="K43" s="136"/>
      <c r="L43" s="136"/>
    </row>
    <row r="44" spans="1:12" ht="29.25" customHeight="1" x14ac:dyDescent="0.25">
      <c r="A44" s="876" t="s">
        <v>10</v>
      </c>
      <c r="B44" s="876"/>
      <c r="C44" s="478" t="s">
        <v>83</v>
      </c>
      <c r="D44" s="479"/>
      <c r="E44" s="877"/>
      <c r="F44" s="877"/>
      <c r="G44" s="877"/>
      <c r="H44" s="868">
        <f>H43*39.8%</f>
        <v>14.177799222222221</v>
      </c>
      <c r="I44" s="868"/>
      <c r="J44" s="868"/>
      <c r="K44" s="136"/>
      <c r="L44" s="136"/>
    </row>
    <row r="45" spans="1:12" ht="33" customHeight="1" thickBot="1" x14ac:dyDescent="0.3">
      <c r="A45" s="526" t="s">
        <v>11</v>
      </c>
      <c r="B45" s="528"/>
      <c r="C45" s="903" t="s">
        <v>53</v>
      </c>
      <c r="D45" s="904"/>
      <c r="E45" s="897"/>
      <c r="F45" s="898"/>
      <c r="G45" s="899"/>
      <c r="H45" s="900">
        <f>E12*5%</f>
        <v>91.600999999999999</v>
      </c>
      <c r="I45" s="901"/>
      <c r="J45" s="902"/>
      <c r="K45" s="136"/>
      <c r="L45" s="136"/>
    </row>
    <row r="46" spans="1:12" ht="15" customHeight="1" thickBot="1" x14ac:dyDescent="0.3">
      <c r="A46" s="507" t="s">
        <v>333</v>
      </c>
      <c r="B46" s="508"/>
      <c r="C46" s="508"/>
      <c r="D46" s="508"/>
      <c r="E46" s="508"/>
      <c r="F46" s="508"/>
      <c r="G46" s="509"/>
      <c r="H46" s="894">
        <f>SUM(H40:J45)</f>
        <v>149.64550033333333</v>
      </c>
      <c r="I46" s="895"/>
      <c r="J46" s="896"/>
      <c r="K46" s="136"/>
      <c r="L46" s="136"/>
    </row>
    <row r="47" spans="1:12" ht="9.75" customHeight="1" thickBot="1" x14ac:dyDescent="0.3">
      <c r="A47" s="143"/>
      <c r="B47" s="143"/>
      <c r="C47" s="143"/>
      <c r="D47" s="143"/>
      <c r="E47" s="153"/>
      <c r="F47" s="153"/>
      <c r="G47" s="153"/>
      <c r="H47" s="166"/>
      <c r="I47" s="166"/>
      <c r="J47" s="166"/>
      <c r="K47" s="136"/>
      <c r="L47" s="136"/>
    </row>
    <row r="48" spans="1:12" ht="33" customHeight="1" thickBot="1" x14ac:dyDescent="0.3">
      <c r="A48" s="494" t="s">
        <v>358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4" t="s">
        <v>2</v>
      </c>
      <c r="B49" s="455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36"/>
      <c r="L49" s="136"/>
    </row>
    <row r="50" spans="1:12" x14ac:dyDescent="0.25">
      <c r="A50" s="454" t="s">
        <v>7</v>
      </c>
      <c r="B50" s="455"/>
      <c r="C50" s="454" t="s">
        <v>57</v>
      </c>
      <c r="D50" s="455"/>
      <c r="E50" s="150"/>
      <c r="F50" s="151"/>
      <c r="G50" s="152"/>
      <c r="H50" s="870">
        <f>E12/30/12</f>
        <v>5.0889444444444445</v>
      </c>
      <c r="I50" s="871"/>
      <c r="J50" s="455"/>
      <c r="K50" s="136"/>
      <c r="L50" s="136"/>
    </row>
    <row r="51" spans="1:12" x14ac:dyDescent="0.25">
      <c r="A51" s="320" t="s">
        <v>8</v>
      </c>
      <c r="B51" s="321"/>
      <c r="C51" s="320" t="s">
        <v>58</v>
      </c>
      <c r="D51" s="321"/>
      <c r="E51" s="873"/>
      <c r="F51" s="874"/>
      <c r="G51" s="875"/>
      <c r="H51" s="868">
        <f>E12/30/12*5*1.5%</f>
        <v>0.38167083333333329</v>
      </c>
      <c r="I51" s="868"/>
      <c r="J51" s="868"/>
      <c r="K51" s="136"/>
      <c r="L51" s="136"/>
    </row>
    <row r="52" spans="1:12" ht="33.75" customHeight="1" x14ac:dyDescent="0.25">
      <c r="A52" s="876" t="s">
        <v>9</v>
      </c>
      <c r="B52" s="876"/>
      <c r="C52" s="284" t="s">
        <v>59</v>
      </c>
      <c r="D52" s="286"/>
      <c r="E52" s="877"/>
      <c r="F52" s="877"/>
      <c r="G52" s="877"/>
      <c r="H52" s="868">
        <f>E12/30/12*15*8%</f>
        <v>6.1067333333333327</v>
      </c>
      <c r="I52" s="868"/>
      <c r="J52" s="868"/>
      <c r="K52" s="136"/>
      <c r="L52" s="136"/>
    </row>
    <row r="53" spans="1:12" x14ac:dyDescent="0.25">
      <c r="A53" s="876" t="s">
        <v>10</v>
      </c>
      <c r="B53" s="876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36"/>
      <c r="L53" s="136"/>
    </row>
    <row r="54" spans="1:12" x14ac:dyDescent="0.25">
      <c r="A54" s="876" t="s">
        <v>11</v>
      </c>
      <c r="B54" s="876"/>
      <c r="C54" s="478" t="s">
        <v>61</v>
      </c>
      <c r="D54" s="479"/>
      <c r="E54" s="877"/>
      <c r="F54" s="877"/>
      <c r="G54" s="877"/>
      <c r="H54" s="868">
        <f>E12/30/12*5*40%</f>
        <v>10.177888888888889</v>
      </c>
      <c r="I54" s="868"/>
      <c r="J54" s="868"/>
      <c r="K54" s="136"/>
      <c r="L54" s="136"/>
    </row>
    <row r="55" spans="1:12" ht="28.5" customHeight="1" x14ac:dyDescent="0.25">
      <c r="A55" s="876" t="s">
        <v>39</v>
      </c>
      <c r="B55" s="876"/>
      <c r="C55" s="478" t="s">
        <v>62</v>
      </c>
      <c r="D55" s="479"/>
      <c r="E55" s="877"/>
      <c r="F55" s="877"/>
      <c r="G55" s="877"/>
      <c r="H55" s="868">
        <f>SUM(H49:J54)*39.8%</f>
        <v>8.6602703866666655</v>
      </c>
      <c r="I55" s="868"/>
      <c r="J55" s="868"/>
      <c r="K55" s="136"/>
      <c r="L55" s="136"/>
    </row>
    <row r="56" spans="1:12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30.41974372</v>
      </c>
      <c r="I56" s="869"/>
      <c r="J56" s="869"/>
      <c r="K56" s="136"/>
      <c r="L56" s="136"/>
    </row>
    <row r="57" spans="1:12" ht="30" customHeight="1" thickBot="1" x14ac:dyDescent="0.3">
      <c r="A57" s="507" t="s">
        <v>423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0.75" customHeight="1" x14ac:dyDescent="0.25">
      <c r="A58" s="454" t="s">
        <v>2</v>
      </c>
      <c r="B58" s="455"/>
      <c r="C58" s="454" t="s">
        <v>64</v>
      </c>
      <c r="D58" s="455"/>
      <c r="E58" s="150"/>
      <c r="F58" s="151"/>
      <c r="G58" s="152"/>
      <c r="H58" s="870">
        <f>((((E12+(E12/3))*0.3333)/12)*2%)</f>
        <v>1.3569161466666666</v>
      </c>
      <c r="I58" s="871"/>
      <c r="J58" s="455"/>
      <c r="K58" s="136"/>
      <c r="L58" s="136"/>
    </row>
    <row r="59" spans="1:12" ht="43.5" customHeight="1" x14ac:dyDescent="0.25">
      <c r="A59" s="454" t="s">
        <v>7</v>
      </c>
      <c r="B59" s="455"/>
      <c r="C59" s="454" t="s">
        <v>65</v>
      </c>
      <c r="D59" s="455"/>
      <c r="E59" s="150"/>
      <c r="F59" s="151"/>
      <c r="G59" s="152"/>
      <c r="H59" s="870">
        <f>H58*39.8%</f>
        <v>0.54005262637333329</v>
      </c>
      <c r="I59" s="871"/>
      <c r="J59" s="455"/>
      <c r="K59" s="136"/>
      <c r="L59" s="136"/>
    </row>
    <row r="60" spans="1:12" ht="43.5" customHeight="1" x14ac:dyDescent="0.25">
      <c r="A60" s="320" t="s">
        <v>8</v>
      </c>
      <c r="B60" s="321"/>
      <c r="C60" s="454" t="s">
        <v>66</v>
      </c>
      <c r="D60" s="455"/>
      <c r="E60" s="873"/>
      <c r="F60" s="874"/>
      <c r="G60" s="875"/>
      <c r="H60" s="868">
        <f>(((E12+H17)*0.333)*2%)*39.8%</f>
        <v>5.2606118014408798</v>
      </c>
      <c r="I60" s="868"/>
      <c r="J60" s="868"/>
      <c r="K60" s="136"/>
      <c r="L60" s="136"/>
    </row>
    <row r="61" spans="1:12" x14ac:dyDescent="0.25">
      <c r="A61" s="876" t="s">
        <v>9</v>
      </c>
      <c r="B61" s="876"/>
      <c r="C61" s="284" t="s">
        <v>67</v>
      </c>
      <c r="D61" s="286"/>
      <c r="E61" s="877"/>
      <c r="F61" s="877"/>
      <c r="G61" s="877"/>
      <c r="H61" s="868"/>
      <c r="I61" s="868"/>
      <c r="J61" s="868"/>
      <c r="K61" s="136"/>
      <c r="L61" s="136"/>
    </row>
    <row r="62" spans="1:12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7.15758057448088</v>
      </c>
      <c r="I62" s="869"/>
      <c r="J62" s="869"/>
      <c r="K62" s="136"/>
      <c r="L62" s="136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3" customHeight="1" x14ac:dyDescent="0.25">
      <c r="A64" s="454" t="s">
        <v>2</v>
      </c>
      <c r="B64" s="455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36"/>
      <c r="L64" s="136"/>
    </row>
    <row r="65" spans="1:12" ht="31.5" customHeight="1" x14ac:dyDescent="0.25">
      <c r="A65" s="454" t="s">
        <v>7</v>
      </c>
      <c r="B65" s="455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36"/>
      <c r="L65" s="136"/>
    </row>
    <row r="66" spans="1:12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36"/>
      <c r="L66" s="136"/>
    </row>
    <row r="67" spans="1:12" ht="15.75" thickBot="1" x14ac:dyDescent="0.3">
      <c r="A67" s="882" t="s">
        <v>71</v>
      </c>
      <c r="B67" s="883"/>
      <c r="C67" s="883"/>
      <c r="D67" s="925"/>
      <c r="E67" s="938">
        <f>H66+H62+H56</f>
        <v>37.577449584172882</v>
      </c>
      <c r="F67" s="885"/>
      <c r="G67" s="885"/>
      <c r="H67" s="885"/>
      <c r="I67" s="885"/>
      <c r="J67" s="886"/>
      <c r="K67" s="136"/>
      <c r="L67" s="136"/>
    </row>
    <row r="68" spans="1:12" ht="10.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36"/>
      <c r="L68" s="136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4" t="s">
        <v>2</v>
      </c>
      <c r="B70" s="455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36"/>
      <c r="L70" s="136"/>
    </row>
    <row r="71" spans="1:12" x14ac:dyDescent="0.25">
      <c r="A71" s="454" t="s">
        <v>7</v>
      </c>
      <c r="B71" s="455"/>
      <c r="C71" s="454" t="s">
        <v>75</v>
      </c>
      <c r="D71" s="455"/>
      <c r="E71" s="150"/>
      <c r="F71" s="151"/>
      <c r="G71" s="152"/>
      <c r="H71" s="870"/>
      <c r="I71" s="871"/>
      <c r="J71" s="455"/>
      <c r="K71" s="136"/>
      <c r="L71" s="136"/>
    </row>
    <row r="72" spans="1:12" x14ac:dyDescent="0.25">
      <c r="A72" s="320" t="s">
        <v>8</v>
      </c>
      <c r="B72" s="321"/>
      <c r="C72" s="320" t="s">
        <v>76</v>
      </c>
      <c r="D72" s="321"/>
      <c r="E72" s="873"/>
      <c r="F72" s="874"/>
      <c r="G72" s="875"/>
      <c r="H72" s="868">
        <v>25.95</v>
      </c>
      <c r="I72" s="868"/>
      <c r="J72" s="868"/>
      <c r="K72" s="136"/>
      <c r="L72" s="136"/>
    </row>
    <row r="73" spans="1:12" ht="15.75" thickBot="1" x14ac:dyDescent="0.3">
      <c r="A73" s="893" t="s">
        <v>9</v>
      </c>
      <c r="B73" s="893"/>
      <c r="C73" s="526" t="s">
        <v>28</v>
      </c>
      <c r="D73" s="528"/>
      <c r="E73" s="887"/>
      <c r="F73" s="887"/>
      <c r="G73" s="887"/>
      <c r="H73" s="888">
        <v>4.5</v>
      </c>
      <c r="I73" s="888"/>
      <c r="J73" s="888"/>
      <c r="K73" s="136"/>
      <c r="L73" s="136"/>
    </row>
    <row r="74" spans="1:12" ht="15" customHeight="1" thickBot="1" x14ac:dyDescent="0.3">
      <c r="A74" s="507" t="s">
        <v>336</v>
      </c>
      <c r="B74" s="508"/>
      <c r="C74" s="508"/>
      <c r="D74" s="508"/>
      <c r="E74" s="508"/>
      <c r="F74" s="508"/>
      <c r="G74" s="508"/>
      <c r="H74" s="894">
        <f>SUM(H70:J73)</f>
        <v>230.45</v>
      </c>
      <c r="I74" s="895"/>
      <c r="J74" s="896"/>
      <c r="K74" s="136"/>
      <c r="L74" s="136"/>
    </row>
    <row r="75" spans="1:12" ht="9" customHeight="1" thickBot="1" x14ac:dyDescent="0.3">
      <c r="A75" s="143"/>
      <c r="B75" s="143"/>
      <c r="C75" s="143"/>
      <c r="D75" s="143"/>
      <c r="E75" s="153"/>
      <c r="F75" s="153"/>
      <c r="G75" s="153"/>
      <c r="H75" s="166"/>
      <c r="I75" s="166"/>
      <c r="J75" s="166"/>
      <c r="K75" s="136"/>
      <c r="L75" s="136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4" t="s">
        <v>2</v>
      </c>
      <c r="B77" s="455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287.15312194558544</v>
      </c>
      <c r="I77" s="871"/>
      <c r="J77" s="455"/>
      <c r="K77" s="136"/>
      <c r="L77" s="136"/>
    </row>
    <row r="78" spans="1:12" x14ac:dyDescent="0.25">
      <c r="A78" s="454" t="s">
        <v>7</v>
      </c>
      <c r="B78" s="455"/>
      <c r="C78" s="454" t="s">
        <v>12</v>
      </c>
      <c r="D78" s="455"/>
      <c r="E78" s="889">
        <v>7.5774402686973108E-2</v>
      </c>
      <c r="F78" s="890"/>
      <c r="G78" s="891"/>
      <c r="H78" s="870">
        <f>E78*(H74+E67+H46+E37+E12)</f>
        <v>310.84080421608974</v>
      </c>
      <c r="I78" s="871"/>
      <c r="J78" s="455"/>
      <c r="K78" s="136"/>
      <c r="L78" s="136"/>
    </row>
    <row r="79" spans="1:12" x14ac:dyDescent="0.25">
      <c r="A79" s="320" t="s">
        <v>8</v>
      </c>
      <c r="B79" s="321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4783.8920773941754</v>
      </c>
      <c r="I79" s="868"/>
      <c r="J79" s="868"/>
      <c r="K79" s="136"/>
      <c r="L79" s="136"/>
    </row>
    <row r="80" spans="1:12" x14ac:dyDescent="0.25">
      <c r="A80" s="876" t="s">
        <v>9</v>
      </c>
      <c r="B80" s="876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56.807190000000006</v>
      </c>
      <c r="I80" s="868"/>
      <c r="J80" s="868"/>
      <c r="K80" s="136"/>
      <c r="L80" s="136"/>
    </row>
    <row r="81" spans="1:12" x14ac:dyDescent="0.25">
      <c r="A81" s="876" t="s">
        <v>9</v>
      </c>
      <c r="B81" s="876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261.65735999999998</v>
      </c>
      <c r="I81" s="868"/>
      <c r="J81" s="868"/>
      <c r="K81" s="136"/>
      <c r="L81" s="136"/>
    </row>
    <row r="82" spans="1:12" x14ac:dyDescent="0.25">
      <c r="A82" s="876" t="s">
        <v>10</v>
      </c>
      <c r="B82" s="876"/>
      <c r="C82" s="284" t="s">
        <v>81</v>
      </c>
      <c r="D82" s="286"/>
      <c r="E82" s="877"/>
      <c r="F82" s="877"/>
      <c r="G82" s="877"/>
      <c r="H82" s="868"/>
      <c r="I82" s="868"/>
      <c r="J82" s="868"/>
      <c r="K82" s="136"/>
      <c r="L82" s="136"/>
    </row>
    <row r="83" spans="1:12" ht="15.75" thickBot="1" x14ac:dyDescent="0.3">
      <c r="A83" s="893" t="s">
        <v>11</v>
      </c>
      <c r="B83" s="893"/>
      <c r="C83" s="526" t="s">
        <v>82</v>
      </c>
      <c r="D83" s="528"/>
      <c r="E83" s="887">
        <v>0.05</v>
      </c>
      <c r="F83" s="887"/>
      <c r="G83" s="887"/>
      <c r="H83" s="888">
        <f>E83*D88</f>
        <v>172.14300000000003</v>
      </c>
      <c r="I83" s="888"/>
      <c r="J83" s="888"/>
      <c r="K83" s="136"/>
      <c r="L83" s="136"/>
    </row>
    <row r="84" spans="1:12" ht="15" customHeight="1" thickBot="1" x14ac:dyDescent="0.3">
      <c r="A84" s="507" t="s">
        <v>340</v>
      </c>
      <c r="B84" s="508"/>
      <c r="C84" s="508"/>
      <c r="D84" s="508"/>
      <c r="E84" s="508"/>
      <c r="F84" s="508"/>
      <c r="G84" s="508"/>
      <c r="H84" s="894">
        <f>H77+H78+H80+H81+H83</f>
        <v>1088.6014761616752</v>
      </c>
      <c r="I84" s="895"/>
      <c r="J84" s="896"/>
      <c r="K84" s="136"/>
      <c r="L84" s="136"/>
    </row>
    <row r="85" spans="1:12" ht="10.5" customHeight="1" thickBot="1" x14ac:dyDescent="0.3">
      <c r="A85" s="143"/>
      <c r="B85" s="143"/>
      <c r="C85" s="143"/>
      <c r="D85" s="143"/>
      <c r="E85" s="153"/>
      <c r="F85" s="153"/>
      <c r="G85" s="153"/>
      <c r="H85" s="166"/>
      <c r="I85" s="166"/>
      <c r="J85" s="166"/>
      <c r="K85" s="136"/>
      <c r="L85" s="136"/>
    </row>
    <row r="86" spans="1:12" ht="15.75" thickBot="1" x14ac:dyDescent="0.3">
      <c r="A86" s="939" t="s">
        <v>85</v>
      </c>
      <c r="B86" s="940"/>
      <c r="C86" s="940"/>
      <c r="D86" s="940"/>
      <c r="E86" s="940"/>
      <c r="F86" s="940"/>
      <c r="G86" s="940"/>
      <c r="H86" s="941">
        <f>SUM(H84+H74+E67+H46+E37+E12)</f>
        <v>5190.7889325271808</v>
      </c>
      <c r="I86" s="942"/>
      <c r="J86" s="943"/>
      <c r="K86" s="136"/>
      <c r="L86" s="136"/>
    </row>
    <row r="87" spans="1:12" x14ac:dyDescent="0.25">
      <c r="A87" s="136"/>
      <c r="B87" s="136"/>
      <c r="C87" s="136"/>
      <c r="D87" s="136"/>
      <c r="E87" s="164"/>
      <c r="F87" s="164"/>
      <c r="G87" s="164"/>
      <c r="H87" s="136"/>
      <c r="I87" s="136"/>
      <c r="J87" s="136"/>
      <c r="K87" s="136"/>
      <c r="L87" s="136"/>
    </row>
    <row r="88" spans="1:12" x14ac:dyDescent="0.25">
      <c r="A88" s="136"/>
      <c r="B88" s="136"/>
      <c r="C88" s="136"/>
      <c r="D88" s="165">
        <v>3442.86</v>
      </c>
      <c r="E88" s="164"/>
      <c r="F88" s="164"/>
      <c r="G88" s="164"/>
      <c r="H88" s="136"/>
      <c r="I88" s="136"/>
      <c r="J88" s="136"/>
      <c r="K88" s="136"/>
      <c r="L88" s="136"/>
    </row>
    <row r="89" spans="1:12" x14ac:dyDescent="0.25">
      <c r="A89" s="136"/>
      <c r="B89" s="136"/>
      <c r="C89" s="136"/>
      <c r="D89" s="136"/>
      <c r="E89" s="164"/>
      <c r="F89" s="164"/>
      <c r="G89" s="164"/>
      <c r="H89" s="136"/>
      <c r="I89" s="136"/>
      <c r="J89" s="136"/>
      <c r="K89" s="136"/>
      <c r="L89" s="136"/>
    </row>
    <row r="90" spans="1:12" x14ac:dyDescent="0.25">
      <c r="A90" s="136"/>
      <c r="B90" s="136"/>
      <c r="C90" s="136"/>
      <c r="D90" s="136"/>
      <c r="E90" s="164"/>
      <c r="F90" s="164"/>
      <c r="G90" s="164"/>
      <c r="H90" s="136"/>
      <c r="I90" s="136"/>
      <c r="J90" s="136"/>
      <c r="K90" s="136"/>
      <c r="L90" s="136"/>
    </row>
    <row r="91" spans="1:12" x14ac:dyDescent="0.25">
      <c r="A91" s="136"/>
      <c r="B91" s="136"/>
      <c r="C91" s="136"/>
      <c r="D91" s="136"/>
      <c r="E91" s="164"/>
      <c r="F91" s="164"/>
      <c r="G91" s="164"/>
      <c r="H91" s="136"/>
      <c r="I91" s="136"/>
      <c r="J91" s="136"/>
      <c r="K91" s="136"/>
      <c r="L91" s="136"/>
    </row>
    <row r="92" spans="1:12" ht="15.75" thickBot="1" x14ac:dyDescent="0.3">
      <c r="A92" s="136"/>
      <c r="B92" s="136"/>
      <c r="C92" s="136"/>
      <c r="D92" s="136"/>
      <c r="E92" s="164"/>
      <c r="F92" s="164"/>
      <c r="G92" s="164"/>
      <c r="H92" s="136"/>
      <c r="I92" s="136"/>
      <c r="J92" s="136"/>
      <c r="K92" s="136"/>
      <c r="L92" s="136"/>
    </row>
  </sheetData>
  <mergeCells count="230">
    <mergeCell ref="A1:J1"/>
    <mergeCell ref="A2:C2"/>
    <mergeCell ref="D2:J2"/>
    <mergeCell ref="A3:J3"/>
    <mergeCell ref="A74:G74"/>
    <mergeCell ref="A84:G84"/>
    <mergeCell ref="A46:G46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fitToHeight="0" orientation="portrait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4659260841701"/>
  </sheetPr>
  <dimension ref="A1:L92"/>
  <sheetViews>
    <sheetView topLeftCell="A70" workbookViewId="0">
      <selection activeCell="N72" sqref="N72"/>
    </sheetView>
  </sheetViews>
  <sheetFormatPr defaultRowHeight="15" x14ac:dyDescent="0.25"/>
  <cols>
    <col min="1" max="1" width="6.7109375" style="134" customWidth="1"/>
    <col min="2" max="2" width="2.85546875" style="134" customWidth="1"/>
    <col min="3" max="3" width="10.42578125" style="134" customWidth="1"/>
    <col min="4" max="4" width="40.7109375" style="134" customWidth="1"/>
    <col min="5" max="7" width="3.140625" style="116" customWidth="1"/>
    <col min="8" max="8" width="3.5703125" style="134" customWidth="1"/>
    <col min="9" max="9" width="2.85546875" style="134" customWidth="1"/>
    <col min="10" max="10" width="6.710937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123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36"/>
      <c r="L5" s="136"/>
    </row>
    <row r="6" spans="1:12" x14ac:dyDescent="0.25">
      <c r="A6" s="139" t="s">
        <v>2</v>
      </c>
      <c r="B6" s="929" t="s">
        <v>1</v>
      </c>
      <c r="C6" s="930"/>
      <c r="D6" s="931"/>
      <c r="E6" s="936">
        <v>2719.91</v>
      </c>
      <c r="F6" s="937"/>
      <c r="G6" s="937"/>
      <c r="H6" s="937"/>
      <c r="I6" s="937"/>
      <c r="J6" s="937"/>
      <c r="K6" s="136"/>
      <c r="L6" s="136"/>
    </row>
    <row r="7" spans="1:12" x14ac:dyDescent="0.25">
      <c r="A7" s="139" t="s">
        <v>7</v>
      </c>
      <c r="B7" s="929" t="s">
        <v>25</v>
      </c>
      <c r="C7" s="930"/>
      <c r="D7" s="931"/>
      <c r="E7" s="932"/>
      <c r="F7" s="933"/>
      <c r="G7" s="933"/>
      <c r="H7" s="933"/>
      <c r="I7" s="933"/>
      <c r="J7" s="934"/>
      <c r="K7" s="136"/>
      <c r="L7" s="136"/>
    </row>
    <row r="8" spans="1:12" x14ac:dyDescent="0.25">
      <c r="A8" s="139" t="s">
        <v>8</v>
      </c>
      <c r="B8" s="929" t="s">
        <v>26</v>
      </c>
      <c r="C8" s="930"/>
      <c r="D8" s="931"/>
      <c r="E8" s="932"/>
      <c r="F8" s="933"/>
      <c r="G8" s="933"/>
      <c r="H8" s="933"/>
      <c r="I8" s="933"/>
      <c r="J8" s="934"/>
      <c r="K8" s="136"/>
      <c r="L8" s="136"/>
    </row>
    <row r="9" spans="1:12" x14ac:dyDescent="0.25">
      <c r="A9" s="139" t="s">
        <v>9</v>
      </c>
      <c r="B9" s="929" t="s">
        <v>27</v>
      </c>
      <c r="C9" s="930"/>
      <c r="D9" s="931"/>
      <c r="E9" s="932"/>
      <c r="F9" s="933"/>
      <c r="G9" s="933"/>
      <c r="H9" s="933"/>
      <c r="I9" s="933"/>
      <c r="J9" s="934"/>
      <c r="K9" s="136"/>
      <c r="L9" s="136"/>
    </row>
    <row r="10" spans="1:12" x14ac:dyDescent="0.25">
      <c r="A10" s="139" t="s">
        <v>10</v>
      </c>
      <c r="B10" s="929" t="s">
        <v>28</v>
      </c>
      <c r="C10" s="930"/>
      <c r="D10" s="931"/>
      <c r="E10" s="935"/>
      <c r="F10" s="935"/>
      <c r="G10" s="935"/>
      <c r="H10" s="935"/>
      <c r="I10" s="935"/>
      <c r="J10" s="935"/>
      <c r="K10" s="136"/>
      <c r="L10" s="136"/>
    </row>
    <row r="11" spans="1:12" ht="30" customHeight="1" thickBot="1" x14ac:dyDescent="0.3">
      <c r="A11" s="141" t="s">
        <v>11</v>
      </c>
      <c r="B11" s="609" t="s">
        <v>92</v>
      </c>
      <c r="C11" s="610"/>
      <c r="D11" s="611"/>
      <c r="E11" s="893"/>
      <c r="F11" s="893"/>
      <c r="G11" s="893"/>
      <c r="H11" s="893"/>
      <c r="I11" s="893"/>
      <c r="J11" s="893"/>
      <c r="K11" s="136"/>
      <c r="L11" s="136"/>
    </row>
    <row r="12" spans="1:12" ht="15.75" thickBot="1" x14ac:dyDescent="0.3">
      <c r="A12" s="882" t="s">
        <v>330</v>
      </c>
      <c r="B12" s="883"/>
      <c r="C12" s="883"/>
      <c r="D12" s="925"/>
      <c r="E12" s="894">
        <f>SUM(E6:J11)</f>
        <v>2719.91</v>
      </c>
      <c r="F12" s="895"/>
      <c r="G12" s="895"/>
      <c r="H12" s="895"/>
      <c r="I12" s="895"/>
      <c r="J12" s="896"/>
      <c r="K12" s="136"/>
      <c r="L12" s="136"/>
    </row>
    <row r="13" spans="1:12" ht="30" customHeight="1" x14ac:dyDescent="0.25">
      <c r="A13" s="551" t="s">
        <v>29</v>
      </c>
      <c r="B13" s="715"/>
      <c r="C13" s="715"/>
      <c r="D13" s="716"/>
      <c r="E13" s="926">
        <f>E12*E30</f>
        <v>1000.9268800000001</v>
      </c>
      <c r="F13" s="927"/>
      <c r="G13" s="927"/>
      <c r="H13" s="927"/>
      <c r="I13" s="927"/>
      <c r="J13" s="928"/>
      <c r="K13" s="136"/>
      <c r="L13" s="136"/>
    </row>
    <row r="14" spans="1:12" ht="9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36"/>
      <c r="L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226.56850299999999</v>
      </c>
      <c r="I17" s="868"/>
      <c r="J17" s="868"/>
      <c r="K17" s="136"/>
      <c r="L17" s="136"/>
    </row>
    <row r="18" spans="1:12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329.10910999999999</v>
      </c>
      <c r="I18" s="868"/>
      <c r="J18" s="868"/>
      <c r="K18" s="136"/>
      <c r="L18" s="136"/>
    </row>
    <row r="19" spans="1:12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555.67761299999995</v>
      </c>
      <c r="I19" s="921"/>
      <c r="J19" s="921"/>
      <c r="K19" s="136"/>
      <c r="L19" s="136"/>
    </row>
    <row r="20" spans="1:12" ht="27.7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212.69696200000001</v>
      </c>
      <c r="I20" s="923"/>
      <c r="J20" s="924"/>
      <c r="K20" s="136"/>
      <c r="L20" s="136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284" t="s">
        <v>2</v>
      </c>
      <c r="B22" s="286"/>
      <c r="C22" s="912" t="s">
        <v>3</v>
      </c>
      <c r="D22" s="913"/>
      <c r="E22" s="914">
        <v>0.2</v>
      </c>
      <c r="F22" s="914"/>
      <c r="G22" s="914"/>
      <c r="H22" s="868">
        <f>E22*(E12+H19)</f>
        <v>655.11752260000003</v>
      </c>
      <c r="I22" s="868"/>
      <c r="J22" s="868"/>
      <c r="K22" s="136"/>
      <c r="L22" s="136"/>
    </row>
    <row r="23" spans="1:12" x14ac:dyDescent="0.25">
      <c r="A23" s="284" t="s">
        <v>7</v>
      </c>
      <c r="B23" s="286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81.889690325000004</v>
      </c>
      <c r="I23" s="868"/>
      <c r="J23" s="868"/>
      <c r="K23" s="136"/>
      <c r="L23" s="136"/>
    </row>
    <row r="24" spans="1:12" x14ac:dyDescent="0.25">
      <c r="A24" s="284" t="s">
        <v>8</v>
      </c>
      <c r="B24" s="286"/>
      <c r="C24" s="915" t="s">
        <v>42</v>
      </c>
      <c r="D24" s="916"/>
      <c r="E24" s="917">
        <v>0.03</v>
      </c>
      <c r="F24" s="917"/>
      <c r="G24" s="917"/>
      <c r="H24" s="868">
        <f>E24*(E12+H19)</f>
        <v>98.267628389999985</v>
      </c>
      <c r="I24" s="868"/>
      <c r="J24" s="868"/>
      <c r="K24" s="136"/>
      <c r="L24" s="136"/>
    </row>
    <row r="25" spans="1:12" x14ac:dyDescent="0.25">
      <c r="A25" s="284" t="s">
        <v>9</v>
      </c>
      <c r="B25" s="286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49.133814194999992</v>
      </c>
      <c r="I25" s="868"/>
      <c r="J25" s="868"/>
      <c r="K25" s="136"/>
      <c r="L25" s="136"/>
    </row>
    <row r="26" spans="1:12" x14ac:dyDescent="0.25">
      <c r="A26" s="284" t="s">
        <v>10</v>
      </c>
      <c r="B26" s="286"/>
      <c r="C26" s="284" t="s">
        <v>44</v>
      </c>
      <c r="D26" s="286"/>
      <c r="E26" s="877">
        <v>0.01</v>
      </c>
      <c r="F26" s="877"/>
      <c r="G26" s="877"/>
      <c r="H26" s="868">
        <f>E26*(E12+H19)</f>
        <v>32.755876129999997</v>
      </c>
      <c r="I26" s="868"/>
      <c r="J26" s="868"/>
      <c r="K26" s="136"/>
      <c r="L26" s="136"/>
    </row>
    <row r="27" spans="1:12" x14ac:dyDescent="0.25">
      <c r="A27" s="284" t="s">
        <v>11</v>
      </c>
      <c r="B27" s="286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19.653525677999998</v>
      </c>
      <c r="I27" s="868"/>
      <c r="J27" s="868"/>
      <c r="K27" s="136"/>
      <c r="L27" s="136"/>
    </row>
    <row r="28" spans="1:12" x14ac:dyDescent="0.25">
      <c r="A28" s="284" t="s">
        <v>39</v>
      </c>
      <c r="B28" s="286"/>
      <c r="C28" s="284" t="s">
        <v>5</v>
      </c>
      <c r="D28" s="286"/>
      <c r="E28" s="877">
        <v>2E-3</v>
      </c>
      <c r="F28" s="877"/>
      <c r="G28" s="877"/>
      <c r="H28" s="868">
        <f>E28*(E12+H19)</f>
        <v>6.5511752259999998</v>
      </c>
      <c r="I28" s="868"/>
      <c r="J28" s="868"/>
      <c r="K28" s="136"/>
      <c r="L28" s="136"/>
    </row>
    <row r="29" spans="1:12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262.04700903999998</v>
      </c>
      <c r="I29" s="868"/>
      <c r="J29" s="868"/>
      <c r="K29" s="136"/>
      <c r="L29" s="136"/>
    </row>
    <row r="30" spans="1:12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1205.4162415840001</v>
      </c>
      <c r="I30" s="869"/>
      <c r="J30" s="869"/>
      <c r="K30" s="136"/>
      <c r="L30" s="136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284" t="s">
        <v>2</v>
      </c>
      <c r="B32" s="286"/>
      <c r="C32" s="912" t="s">
        <v>46</v>
      </c>
      <c r="D32" s="913"/>
      <c r="E32" s="914"/>
      <c r="F32" s="914"/>
      <c r="G32" s="914"/>
      <c r="H32" s="868">
        <f>(3.9*2*25.5)-6%*F6</f>
        <v>198.9</v>
      </c>
      <c r="I32" s="868"/>
      <c r="J32" s="868"/>
      <c r="K32" s="136"/>
      <c r="L32" s="136"/>
    </row>
    <row r="33" spans="1:12" x14ac:dyDescent="0.25">
      <c r="A33" s="284" t="s">
        <v>7</v>
      </c>
      <c r="B33" s="286"/>
      <c r="C33" s="284" t="s">
        <v>47</v>
      </c>
      <c r="D33" s="286"/>
      <c r="E33" s="877"/>
      <c r="F33" s="877"/>
      <c r="G33" s="877"/>
      <c r="H33" s="868">
        <f>21.63*25.5-20%</f>
        <v>551.3649999999999</v>
      </c>
      <c r="I33" s="868"/>
      <c r="J33" s="868"/>
      <c r="K33" s="136"/>
      <c r="L33" s="136"/>
    </row>
    <row r="34" spans="1:12" x14ac:dyDescent="0.25">
      <c r="A34" s="284" t="s">
        <v>8</v>
      </c>
      <c r="B34" s="286"/>
      <c r="C34" s="284" t="s">
        <v>49</v>
      </c>
      <c r="D34" s="286"/>
      <c r="E34" s="877"/>
      <c r="F34" s="877"/>
      <c r="G34" s="877"/>
      <c r="H34" s="868">
        <v>0</v>
      </c>
      <c r="I34" s="868"/>
      <c r="J34" s="868"/>
      <c r="K34" s="136"/>
      <c r="L34" s="136"/>
    </row>
    <row r="35" spans="1:12" x14ac:dyDescent="0.25">
      <c r="A35" s="284" t="s">
        <v>9</v>
      </c>
      <c r="B35" s="286"/>
      <c r="C35" s="478" t="s">
        <v>119</v>
      </c>
      <c r="D35" s="479"/>
      <c r="E35" s="877"/>
      <c r="F35" s="877"/>
      <c r="G35" s="877"/>
      <c r="H35" s="868">
        <v>25.95</v>
      </c>
      <c r="I35" s="868"/>
      <c r="J35" s="868"/>
      <c r="K35" s="136"/>
      <c r="L35" s="136"/>
    </row>
    <row r="36" spans="1:12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776.21499999999992</v>
      </c>
      <c r="I36" s="867"/>
      <c r="J36" s="867"/>
      <c r="K36" s="136"/>
      <c r="L36" s="136"/>
    </row>
    <row r="37" spans="1:12" ht="15.75" thickBot="1" x14ac:dyDescent="0.3">
      <c r="A37" s="882" t="s">
        <v>72</v>
      </c>
      <c r="B37" s="883"/>
      <c r="C37" s="883"/>
      <c r="D37" s="925"/>
      <c r="E37" s="938">
        <f>H19+H30+H36</f>
        <v>2537.3088545840001</v>
      </c>
      <c r="F37" s="885"/>
      <c r="G37" s="885"/>
      <c r="H37" s="885"/>
      <c r="I37" s="885"/>
      <c r="J37" s="886"/>
      <c r="K37" s="136"/>
      <c r="L37" s="136"/>
    </row>
    <row r="38" spans="1:12" ht="9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36"/>
      <c r="L38" s="136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4" t="s">
        <v>2</v>
      </c>
      <c r="B40" s="455"/>
      <c r="C40" s="454" t="s">
        <v>51</v>
      </c>
      <c r="D40" s="455"/>
      <c r="E40" s="150"/>
      <c r="F40" s="151"/>
      <c r="G40" s="152"/>
      <c r="H40" s="870">
        <f>E12/12*5%</f>
        <v>11.332958333333334</v>
      </c>
      <c r="I40" s="871"/>
      <c r="J40" s="455"/>
      <c r="K40" s="136"/>
      <c r="L40" s="136"/>
    </row>
    <row r="41" spans="1:12" x14ac:dyDescent="0.25">
      <c r="A41" s="454" t="s">
        <v>7</v>
      </c>
      <c r="B41" s="455"/>
      <c r="C41" s="454" t="s">
        <v>52</v>
      </c>
      <c r="D41" s="455"/>
      <c r="E41" s="150"/>
      <c r="F41" s="151"/>
      <c r="G41" s="152"/>
      <c r="H41" s="870">
        <f>H40*8%</f>
        <v>0.90663666666666676</v>
      </c>
      <c r="I41" s="871"/>
      <c r="J41" s="455"/>
      <c r="K41" s="136"/>
      <c r="L41" s="136"/>
    </row>
    <row r="42" spans="1:12" ht="28.5" customHeight="1" x14ac:dyDescent="0.25">
      <c r="A42" s="320" t="s">
        <v>8</v>
      </c>
      <c r="B42" s="321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36"/>
      <c r="L42" s="136"/>
    </row>
    <row r="43" spans="1:12" x14ac:dyDescent="0.25">
      <c r="A43" s="876" t="s">
        <v>9</v>
      </c>
      <c r="B43" s="876"/>
      <c r="C43" s="284" t="s">
        <v>54</v>
      </c>
      <c r="D43" s="286"/>
      <c r="E43" s="877"/>
      <c r="F43" s="877"/>
      <c r="G43" s="877"/>
      <c r="H43" s="868">
        <f>E12/30/12*7*100%</f>
        <v>52.887138888888884</v>
      </c>
      <c r="I43" s="868"/>
      <c r="J43" s="868"/>
      <c r="K43" s="136"/>
      <c r="L43" s="136"/>
    </row>
    <row r="44" spans="1:12" ht="29.25" customHeight="1" x14ac:dyDescent="0.25">
      <c r="A44" s="876" t="s">
        <v>10</v>
      </c>
      <c r="B44" s="876"/>
      <c r="C44" s="478" t="s">
        <v>83</v>
      </c>
      <c r="D44" s="479"/>
      <c r="E44" s="877"/>
      <c r="F44" s="877"/>
      <c r="G44" s="877"/>
      <c r="H44" s="868">
        <f>H43*39.8%</f>
        <v>21.049081277777773</v>
      </c>
      <c r="I44" s="868"/>
      <c r="J44" s="868"/>
      <c r="K44" s="136"/>
      <c r="L44" s="136"/>
    </row>
    <row r="45" spans="1:12" ht="31.5" customHeight="1" thickBot="1" x14ac:dyDescent="0.3">
      <c r="A45" s="526" t="s">
        <v>11</v>
      </c>
      <c r="B45" s="528"/>
      <c r="C45" s="903" t="s">
        <v>53</v>
      </c>
      <c r="D45" s="904"/>
      <c r="E45" s="897"/>
      <c r="F45" s="898"/>
      <c r="G45" s="899"/>
      <c r="H45" s="900">
        <f>E12*5%</f>
        <v>135.99549999999999</v>
      </c>
      <c r="I45" s="901"/>
      <c r="J45" s="902"/>
      <c r="K45" s="136"/>
      <c r="L45" s="136"/>
    </row>
    <row r="46" spans="1:12" ht="15" customHeight="1" thickBot="1" x14ac:dyDescent="0.3">
      <c r="A46" s="507" t="s">
        <v>333</v>
      </c>
      <c r="B46" s="508"/>
      <c r="C46" s="508"/>
      <c r="D46" s="508"/>
      <c r="E46" s="508"/>
      <c r="F46" s="508"/>
      <c r="G46" s="509"/>
      <c r="H46" s="894">
        <f>SUM(H40:J45)</f>
        <v>222.17131516666666</v>
      </c>
      <c r="I46" s="895"/>
      <c r="J46" s="896"/>
      <c r="K46" s="136"/>
      <c r="L46" s="136"/>
    </row>
    <row r="47" spans="1:12" ht="9" customHeight="1" thickBot="1" x14ac:dyDescent="0.3">
      <c r="A47" s="143"/>
      <c r="B47" s="143"/>
      <c r="C47" s="143"/>
      <c r="D47" s="143"/>
      <c r="E47" s="153"/>
      <c r="F47" s="153"/>
      <c r="G47" s="153"/>
      <c r="H47" s="166"/>
      <c r="I47" s="166"/>
      <c r="J47" s="166"/>
      <c r="K47" s="136"/>
      <c r="L47" s="136"/>
    </row>
    <row r="48" spans="1:12" ht="33" customHeight="1" thickBot="1" x14ac:dyDescent="0.3">
      <c r="A48" s="494" t="s">
        <v>358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4" t="s">
        <v>2</v>
      </c>
      <c r="B49" s="455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36"/>
      <c r="L49" s="136"/>
    </row>
    <row r="50" spans="1:12" x14ac:dyDescent="0.25">
      <c r="A50" s="454" t="s">
        <v>7</v>
      </c>
      <c r="B50" s="455"/>
      <c r="C50" s="454" t="s">
        <v>57</v>
      </c>
      <c r="D50" s="455"/>
      <c r="E50" s="150"/>
      <c r="F50" s="151"/>
      <c r="G50" s="152"/>
      <c r="H50" s="870">
        <f>E12/30/12</f>
        <v>7.5553055555555551</v>
      </c>
      <c r="I50" s="871"/>
      <c r="J50" s="455"/>
      <c r="K50" s="136"/>
      <c r="L50" s="136"/>
    </row>
    <row r="51" spans="1:12" x14ac:dyDescent="0.25">
      <c r="A51" s="320" t="s">
        <v>8</v>
      </c>
      <c r="B51" s="321"/>
      <c r="C51" s="320" t="s">
        <v>58</v>
      </c>
      <c r="D51" s="321"/>
      <c r="E51" s="873"/>
      <c r="F51" s="874"/>
      <c r="G51" s="875"/>
      <c r="H51" s="868">
        <f>E12/30/12*5*1.5%</f>
        <v>0.56664791666666658</v>
      </c>
      <c r="I51" s="868"/>
      <c r="J51" s="868"/>
      <c r="K51" s="136"/>
      <c r="L51" s="136"/>
    </row>
    <row r="52" spans="1:12" ht="29.25" customHeight="1" x14ac:dyDescent="0.25">
      <c r="A52" s="876" t="s">
        <v>9</v>
      </c>
      <c r="B52" s="876"/>
      <c r="C52" s="284" t="s">
        <v>59</v>
      </c>
      <c r="D52" s="286"/>
      <c r="E52" s="877"/>
      <c r="F52" s="877"/>
      <c r="G52" s="877"/>
      <c r="H52" s="868">
        <f>E12/30/12*15*8%</f>
        <v>9.0663666666666671</v>
      </c>
      <c r="I52" s="868"/>
      <c r="J52" s="868"/>
      <c r="K52" s="136"/>
      <c r="L52" s="136"/>
    </row>
    <row r="53" spans="1:12" x14ac:dyDescent="0.25">
      <c r="A53" s="876" t="s">
        <v>10</v>
      </c>
      <c r="B53" s="876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36"/>
      <c r="L53" s="136"/>
    </row>
    <row r="54" spans="1:12" x14ac:dyDescent="0.25">
      <c r="A54" s="876" t="s">
        <v>11</v>
      </c>
      <c r="B54" s="876"/>
      <c r="C54" s="478" t="s">
        <v>61</v>
      </c>
      <c r="D54" s="479"/>
      <c r="E54" s="877"/>
      <c r="F54" s="877"/>
      <c r="G54" s="877"/>
      <c r="H54" s="868">
        <f>E12/30/12*5*40%</f>
        <v>15.11061111111111</v>
      </c>
      <c r="I54" s="868"/>
      <c r="J54" s="868"/>
      <c r="K54" s="136"/>
      <c r="L54" s="136"/>
    </row>
    <row r="55" spans="1:12" ht="28.5" customHeight="1" x14ac:dyDescent="0.25">
      <c r="A55" s="876" t="s">
        <v>39</v>
      </c>
      <c r="B55" s="876"/>
      <c r="C55" s="478" t="s">
        <v>62</v>
      </c>
      <c r="D55" s="479"/>
      <c r="E55" s="877"/>
      <c r="F55" s="877"/>
      <c r="G55" s="877"/>
      <c r="H55" s="868">
        <f>SUM(H49:J54)*39.8%</f>
        <v>12.856660499166667</v>
      </c>
      <c r="I55" s="868"/>
      <c r="J55" s="868"/>
      <c r="K55" s="136"/>
      <c r="L55" s="136"/>
    </row>
    <row r="56" spans="1:12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45.1598275825</v>
      </c>
      <c r="I56" s="869"/>
      <c r="J56" s="869"/>
      <c r="K56" s="136"/>
      <c r="L56" s="136"/>
    </row>
    <row r="57" spans="1:12" ht="30" customHeight="1" thickBot="1" x14ac:dyDescent="0.3">
      <c r="A57" s="507" t="s">
        <v>424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28.5" customHeight="1" x14ac:dyDescent="0.25">
      <c r="A58" s="454" t="s">
        <v>2</v>
      </c>
      <c r="B58" s="455"/>
      <c r="C58" s="454" t="s">
        <v>64</v>
      </c>
      <c r="D58" s="455"/>
      <c r="E58" s="150"/>
      <c r="F58" s="151"/>
      <c r="G58" s="152"/>
      <c r="H58" s="870">
        <f>((((E12+(E12/3))*0.3333)/12)*2%)</f>
        <v>2.0145466733333333</v>
      </c>
      <c r="I58" s="871"/>
      <c r="J58" s="455"/>
      <c r="K58" s="136"/>
      <c r="L58" s="136"/>
    </row>
    <row r="59" spans="1:12" ht="43.5" customHeight="1" x14ac:dyDescent="0.25">
      <c r="A59" s="454" t="s">
        <v>7</v>
      </c>
      <c r="B59" s="455"/>
      <c r="C59" s="454" t="s">
        <v>65</v>
      </c>
      <c r="D59" s="455"/>
      <c r="E59" s="150"/>
      <c r="F59" s="151"/>
      <c r="G59" s="152"/>
      <c r="H59" s="870">
        <f>H58*39.8%</f>
        <v>0.80178957598666656</v>
      </c>
      <c r="I59" s="871"/>
      <c r="J59" s="455"/>
      <c r="K59" s="136"/>
      <c r="L59" s="136"/>
    </row>
    <row r="60" spans="1:12" ht="43.5" customHeight="1" x14ac:dyDescent="0.25">
      <c r="A60" s="320" t="s">
        <v>8</v>
      </c>
      <c r="B60" s="321"/>
      <c r="C60" s="454" t="s">
        <v>66</v>
      </c>
      <c r="D60" s="455"/>
      <c r="E60" s="873"/>
      <c r="F60" s="874"/>
      <c r="G60" s="875"/>
      <c r="H60" s="868">
        <f>(((E12+H17)*0.333)*2%)*39.8%</f>
        <v>7.8101716383320392</v>
      </c>
      <c r="I60" s="868"/>
      <c r="J60" s="868"/>
      <c r="K60" s="136"/>
      <c r="L60" s="136"/>
    </row>
    <row r="61" spans="1:12" x14ac:dyDescent="0.25">
      <c r="A61" s="876" t="s">
        <v>9</v>
      </c>
      <c r="B61" s="876"/>
      <c r="C61" s="284" t="s">
        <v>67</v>
      </c>
      <c r="D61" s="286"/>
      <c r="E61" s="877"/>
      <c r="F61" s="877"/>
      <c r="G61" s="877"/>
      <c r="H61" s="868"/>
      <c r="I61" s="868"/>
      <c r="J61" s="868"/>
      <c r="K61" s="136"/>
      <c r="L61" s="136"/>
    </row>
    <row r="62" spans="1:12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10.626507887652039</v>
      </c>
      <c r="I62" s="869"/>
      <c r="J62" s="869"/>
      <c r="K62" s="136"/>
      <c r="L62" s="136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27" customHeight="1" x14ac:dyDescent="0.25">
      <c r="A64" s="454" t="s">
        <v>2</v>
      </c>
      <c r="B64" s="455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36"/>
      <c r="L64" s="136"/>
    </row>
    <row r="65" spans="1:12" ht="31.5" customHeight="1" x14ac:dyDescent="0.25">
      <c r="A65" s="454" t="s">
        <v>7</v>
      </c>
      <c r="B65" s="455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36"/>
      <c r="L65" s="136"/>
    </row>
    <row r="66" spans="1:12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36"/>
      <c r="L66" s="136"/>
    </row>
    <row r="67" spans="1:12" ht="15.75" thickBot="1" x14ac:dyDescent="0.3">
      <c r="A67" s="882" t="s">
        <v>71</v>
      </c>
      <c r="B67" s="883"/>
      <c r="C67" s="883"/>
      <c r="D67" s="925"/>
      <c r="E67" s="938">
        <f>H66+H62+H56</f>
        <v>55.78646075984404</v>
      </c>
      <c r="F67" s="885"/>
      <c r="G67" s="885"/>
      <c r="H67" s="885"/>
      <c r="I67" s="885"/>
      <c r="J67" s="886"/>
      <c r="K67" s="136"/>
      <c r="L67" s="136"/>
    </row>
    <row r="68" spans="1:12" ht="11.2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36"/>
      <c r="L68" s="136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4" t="s">
        <v>2</v>
      </c>
      <c r="B70" s="455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36"/>
      <c r="L70" s="136"/>
    </row>
    <row r="71" spans="1:12" x14ac:dyDescent="0.25">
      <c r="A71" s="454" t="s">
        <v>7</v>
      </c>
      <c r="B71" s="455"/>
      <c r="C71" s="454" t="s">
        <v>75</v>
      </c>
      <c r="D71" s="455"/>
      <c r="E71" s="150"/>
      <c r="F71" s="151"/>
      <c r="G71" s="152"/>
      <c r="H71" s="870"/>
      <c r="I71" s="871"/>
      <c r="J71" s="455"/>
      <c r="K71" s="136"/>
      <c r="L71" s="136"/>
    </row>
    <row r="72" spans="1:12" x14ac:dyDescent="0.25">
      <c r="A72" s="320" t="s">
        <v>8</v>
      </c>
      <c r="B72" s="321"/>
      <c r="C72" s="320" t="s">
        <v>76</v>
      </c>
      <c r="D72" s="321"/>
      <c r="E72" s="873"/>
      <c r="F72" s="874"/>
      <c r="G72" s="875"/>
      <c r="H72" s="868">
        <v>15</v>
      </c>
      <c r="I72" s="868"/>
      <c r="J72" s="868"/>
      <c r="K72" s="136"/>
      <c r="L72" s="136"/>
    </row>
    <row r="73" spans="1:12" ht="15.75" thickBot="1" x14ac:dyDescent="0.3">
      <c r="A73" s="893" t="s">
        <v>9</v>
      </c>
      <c r="B73" s="893"/>
      <c r="C73" s="526" t="s">
        <v>28</v>
      </c>
      <c r="D73" s="528"/>
      <c r="E73" s="887"/>
      <c r="F73" s="887"/>
      <c r="G73" s="887"/>
      <c r="H73" s="888">
        <v>4.5</v>
      </c>
      <c r="I73" s="888"/>
      <c r="J73" s="888"/>
      <c r="K73" s="136"/>
      <c r="L73" s="136"/>
    </row>
    <row r="74" spans="1:12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8"/>
      <c r="H74" s="894">
        <f>SUM(H70:J73)</f>
        <v>219.5</v>
      </c>
      <c r="I74" s="895"/>
      <c r="J74" s="896"/>
      <c r="K74" s="136"/>
      <c r="L74" s="136"/>
    </row>
    <row r="75" spans="1:12" ht="9" customHeight="1" thickBot="1" x14ac:dyDescent="0.3">
      <c r="A75" s="143"/>
      <c r="B75" s="143"/>
      <c r="C75" s="143"/>
      <c r="D75" s="143"/>
      <c r="E75" s="153"/>
      <c r="F75" s="153"/>
      <c r="G75" s="153"/>
      <c r="H75" s="166"/>
      <c r="I75" s="166"/>
      <c r="J75" s="166"/>
      <c r="K75" s="136"/>
      <c r="L75" s="136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4" t="s">
        <v>2</v>
      </c>
      <c r="B77" s="455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402.82736413573576</v>
      </c>
      <c r="I77" s="871"/>
      <c r="J77" s="455"/>
      <c r="K77" s="136"/>
      <c r="L77" s="136"/>
    </row>
    <row r="78" spans="1:12" x14ac:dyDescent="0.25">
      <c r="A78" s="454" t="s">
        <v>7</v>
      </c>
      <c r="B78" s="455"/>
      <c r="C78" s="454" t="s">
        <v>12</v>
      </c>
      <c r="D78" s="455"/>
      <c r="E78" s="889">
        <v>7.5774402686973108E-2</v>
      </c>
      <c r="F78" s="890"/>
      <c r="G78" s="891"/>
      <c r="H78" s="870">
        <f>E78*(H74+E67+H46+E37+E12)</f>
        <v>436.05718433361693</v>
      </c>
      <c r="I78" s="871"/>
      <c r="J78" s="455"/>
      <c r="K78" s="136"/>
      <c r="L78" s="136"/>
    </row>
    <row r="79" spans="1:12" x14ac:dyDescent="0.25">
      <c r="A79" s="320" t="s">
        <v>8</v>
      </c>
      <c r="B79" s="321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6710.9931551142972</v>
      </c>
      <c r="I79" s="868"/>
      <c r="J79" s="868"/>
      <c r="K79" s="136"/>
      <c r="L79" s="136"/>
    </row>
    <row r="80" spans="1:12" x14ac:dyDescent="0.25">
      <c r="A80" s="876" t="s">
        <v>9</v>
      </c>
      <c r="B80" s="876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96.473190000000002</v>
      </c>
      <c r="I80" s="868"/>
      <c r="J80" s="868"/>
      <c r="K80" s="136"/>
      <c r="L80" s="136"/>
    </row>
    <row r="81" spans="1:12" x14ac:dyDescent="0.25">
      <c r="A81" s="876" t="s">
        <v>9</v>
      </c>
      <c r="B81" s="876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444.36135999999999</v>
      </c>
      <c r="I81" s="868"/>
      <c r="J81" s="868"/>
      <c r="K81" s="136"/>
      <c r="L81" s="136"/>
    </row>
    <row r="82" spans="1:12" x14ac:dyDescent="0.25">
      <c r="A82" s="876" t="s">
        <v>10</v>
      </c>
      <c r="B82" s="876"/>
      <c r="C82" s="284" t="s">
        <v>81</v>
      </c>
      <c r="D82" s="286"/>
      <c r="E82" s="877"/>
      <c r="F82" s="877"/>
      <c r="G82" s="877"/>
      <c r="H82" s="868"/>
      <c r="I82" s="868"/>
      <c r="J82" s="868"/>
      <c r="K82" s="136"/>
      <c r="L82" s="136"/>
    </row>
    <row r="83" spans="1:12" ht="15.75" thickBot="1" x14ac:dyDescent="0.3">
      <c r="A83" s="893" t="s">
        <v>11</v>
      </c>
      <c r="B83" s="893"/>
      <c r="C83" s="526" t="s">
        <v>82</v>
      </c>
      <c r="D83" s="528"/>
      <c r="E83" s="887">
        <v>0.05</v>
      </c>
      <c r="F83" s="887"/>
      <c r="G83" s="887"/>
      <c r="H83" s="888">
        <f>E83*D88</f>
        <v>292.34300000000002</v>
      </c>
      <c r="I83" s="888"/>
      <c r="J83" s="888"/>
      <c r="K83" s="136"/>
      <c r="L83" s="136"/>
    </row>
    <row r="84" spans="1:12" ht="14.25" customHeight="1" thickBot="1" x14ac:dyDescent="0.3">
      <c r="A84" s="507" t="s">
        <v>321</v>
      </c>
      <c r="B84" s="508"/>
      <c r="C84" s="508"/>
      <c r="D84" s="508"/>
      <c r="E84" s="508"/>
      <c r="F84" s="508"/>
      <c r="G84" s="508"/>
      <c r="H84" s="894">
        <f>H77+H78+H80+H81+H83</f>
        <v>1672.0620984693528</v>
      </c>
      <c r="I84" s="895"/>
      <c r="J84" s="896"/>
      <c r="K84" s="136"/>
      <c r="L84" s="136"/>
    </row>
    <row r="85" spans="1:12" ht="11.25" customHeight="1" thickBot="1" x14ac:dyDescent="0.3">
      <c r="A85" s="143"/>
      <c r="B85" s="143"/>
      <c r="C85" s="143"/>
      <c r="D85" s="143"/>
      <c r="E85" s="153"/>
      <c r="F85" s="153"/>
      <c r="G85" s="153"/>
      <c r="H85" s="166"/>
      <c r="I85" s="166"/>
      <c r="J85" s="166"/>
      <c r="K85" s="136"/>
      <c r="L85" s="136"/>
    </row>
    <row r="86" spans="1:12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941">
        <f>SUM(H84+H74+E67+H46+E37+E12)</f>
        <v>7426.7387289798635</v>
      </c>
      <c r="I86" s="942"/>
      <c r="J86" s="943"/>
      <c r="K86" s="136"/>
      <c r="L86" s="136"/>
    </row>
    <row r="87" spans="1:12" x14ac:dyDescent="0.25">
      <c r="A87" s="136"/>
      <c r="B87" s="136"/>
      <c r="C87" s="136"/>
      <c r="D87" s="136"/>
      <c r="E87" s="164"/>
      <c r="F87" s="164"/>
      <c r="G87" s="164"/>
      <c r="H87" s="136"/>
      <c r="I87" s="136"/>
      <c r="J87" s="136"/>
      <c r="K87" s="136"/>
      <c r="L87" s="136"/>
    </row>
    <row r="88" spans="1:12" x14ac:dyDescent="0.25">
      <c r="A88" s="136"/>
      <c r="B88" s="136"/>
      <c r="C88" s="136"/>
      <c r="D88" s="165">
        <v>5846.86</v>
      </c>
      <c r="E88" s="164"/>
      <c r="F88" s="164"/>
      <c r="G88" s="164"/>
      <c r="H88" s="136"/>
      <c r="I88" s="136"/>
      <c r="J88" s="136"/>
      <c r="K88" s="136"/>
      <c r="L88" s="136"/>
    </row>
    <row r="89" spans="1:12" x14ac:dyDescent="0.25">
      <c r="A89" s="136"/>
      <c r="B89" s="136"/>
      <c r="C89" s="136"/>
      <c r="D89" s="136"/>
      <c r="E89" s="164"/>
      <c r="F89" s="164"/>
      <c r="G89" s="164"/>
      <c r="H89" s="136"/>
      <c r="I89" s="136"/>
      <c r="J89" s="136"/>
      <c r="K89" s="136"/>
      <c r="L89" s="136"/>
    </row>
    <row r="90" spans="1:12" x14ac:dyDescent="0.25">
      <c r="A90" s="136"/>
      <c r="B90" s="136"/>
      <c r="C90" s="136"/>
      <c r="D90" s="136"/>
      <c r="E90" s="164"/>
      <c r="F90" s="164"/>
      <c r="G90" s="164"/>
      <c r="H90" s="136"/>
      <c r="I90" s="136"/>
      <c r="J90" s="136"/>
      <c r="K90" s="136"/>
      <c r="L90" s="136"/>
    </row>
    <row r="91" spans="1:12" x14ac:dyDescent="0.25">
      <c r="A91" s="136"/>
      <c r="B91" s="136"/>
      <c r="C91" s="136"/>
      <c r="D91" s="136"/>
      <c r="E91" s="164"/>
      <c r="F91" s="164"/>
      <c r="G91" s="164"/>
      <c r="H91" s="136"/>
      <c r="I91" s="136"/>
      <c r="J91" s="136"/>
      <c r="K91" s="136"/>
      <c r="L91" s="136"/>
    </row>
    <row r="92" spans="1:12" ht="15.75" thickBot="1" x14ac:dyDescent="0.3">
      <c r="A92" s="136"/>
      <c r="B92" s="136"/>
      <c r="C92" s="136"/>
      <c r="D92" s="136"/>
      <c r="E92" s="164"/>
      <c r="F92" s="164"/>
      <c r="G92" s="164"/>
      <c r="H92" s="136"/>
      <c r="I92" s="136"/>
      <c r="J92" s="136"/>
      <c r="K92" s="136"/>
      <c r="L92" s="136"/>
    </row>
  </sheetData>
  <mergeCells count="230">
    <mergeCell ref="A1:J1"/>
    <mergeCell ref="A2:C2"/>
    <mergeCell ref="D2:J2"/>
    <mergeCell ref="A3:J3"/>
    <mergeCell ref="A84:G84"/>
    <mergeCell ref="A74:G74"/>
    <mergeCell ref="A46:G46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fitToHeight="0" orientation="portrait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4659260841701"/>
  </sheetPr>
  <dimension ref="A1:L92"/>
  <sheetViews>
    <sheetView topLeftCell="A70" workbookViewId="0">
      <selection activeCell="L4" sqref="L4"/>
    </sheetView>
  </sheetViews>
  <sheetFormatPr defaultRowHeight="15" x14ac:dyDescent="0.25"/>
  <cols>
    <col min="1" max="1" width="6.7109375" style="134" customWidth="1"/>
    <col min="2" max="2" width="3.7109375" style="134" customWidth="1"/>
    <col min="3" max="3" width="8.28515625" style="134" customWidth="1"/>
    <col min="4" max="4" width="42.7109375" style="134" customWidth="1"/>
    <col min="5" max="7" width="3" style="116" customWidth="1"/>
    <col min="8" max="8" width="3.7109375" style="134" customWidth="1"/>
    <col min="9" max="9" width="2.140625" style="134" customWidth="1"/>
    <col min="10" max="10" width="7.710937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375</v>
      </c>
      <c r="E2" s="738"/>
      <c r="F2" s="738"/>
      <c r="G2" s="738"/>
      <c r="H2" s="738"/>
      <c r="I2" s="738"/>
      <c r="J2" s="739"/>
      <c r="K2" s="136"/>
    </row>
    <row r="3" spans="1:12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36"/>
      <c r="L5" s="136"/>
    </row>
    <row r="6" spans="1:12" x14ac:dyDescent="0.25">
      <c r="A6" s="140" t="s">
        <v>2</v>
      </c>
      <c r="B6" s="929" t="s">
        <v>1</v>
      </c>
      <c r="C6" s="930"/>
      <c r="D6" s="931"/>
      <c r="E6" s="949">
        <v>2719.91</v>
      </c>
      <c r="F6" s="949"/>
      <c r="G6" s="949"/>
      <c r="H6" s="949"/>
      <c r="I6" s="949"/>
      <c r="J6" s="949"/>
      <c r="K6" s="136"/>
      <c r="L6" s="136"/>
    </row>
    <row r="7" spans="1:12" x14ac:dyDescent="0.25">
      <c r="A7" s="140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36"/>
      <c r="L7" s="136"/>
    </row>
    <row r="8" spans="1:12" x14ac:dyDescent="0.25">
      <c r="A8" s="140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36"/>
      <c r="L8" s="136"/>
    </row>
    <row r="9" spans="1:12" x14ac:dyDescent="0.25">
      <c r="A9" s="140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36"/>
      <c r="L9" s="136"/>
    </row>
    <row r="10" spans="1:12" x14ac:dyDescent="0.25">
      <c r="A10" s="140" t="s">
        <v>10</v>
      </c>
      <c r="B10" s="929" t="s">
        <v>28</v>
      </c>
      <c r="C10" s="930"/>
      <c r="D10" s="931"/>
      <c r="E10" s="949"/>
      <c r="F10" s="949"/>
      <c r="G10" s="949"/>
      <c r="H10" s="949"/>
      <c r="I10" s="949"/>
      <c r="J10" s="949"/>
      <c r="K10" s="136"/>
      <c r="L10" s="136"/>
    </row>
    <row r="11" spans="1:12" ht="15.75" thickBot="1" x14ac:dyDescent="0.3">
      <c r="A11" s="141" t="s">
        <v>11</v>
      </c>
      <c r="B11" s="609" t="s">
        <v>161</v>
      </c>
      <c r="C11" s="610"/>
      <c r="D11" s="611"/>
      <c r="E11" s="950">
        <f>1045*40%</f>
        <v>418</v>
      </c>
      <c r="F11" s="950"/>
      <c r="G11" s="950"/>
      <c r="H11" s="950"/>
      <c r="I11" s="950"/>
      <c r="J11" s="950"/>
      <c r="K11" s="136"/>
      <c r="L11" s="136"/>
    </row>
    <row r="12" spans="1:12" ht="15.75" thickBot="1" x14ac:dyDescent="0.3">
      <c r="A12" s="882" t="s">
        <v>330</v>
      </c>
      <c r="B12" s="883"/>
      <c r="C12" s="883"/>
      <c r="D12" s="947"/>
      <c r="E12" s="894">
        <f>SUM(E6:J11)</f>
        <v>3137.91</v>
      </c>
      <c r="F12" s="895"/>
      <c r="G12" s="895"/>
      <c r="H12" s="895"/>
      <c r="I12" s="895"/>
      <c r="J12" s="896"/>
      <c r="K12" s="136"/>
      <c r="L12" s="136"/>
    </row>
    <row r="13" spans="1:12" ht="30.75" customHeight="1" x14ac:dyDescent="0.25">
      <c r="A13" s="551" t="s">
        <v>29</v>
      </c>
      <c r="B13" s="715"/>
      <c r="C13" s="715"/>
      <c r="D13" s="716"/>
      <c r="E13" s="926">
        <f>E12*E30</f>
        <v>1154.7508800000001</v>
      </c>
      <c r="F13" s="927"/>
      <c r="G13" s="927"/>
      <c r="H13" s="927"/>
      <c r="I13" s="927"/>
      <c r="J13" s="928"/>
      <c r="K13" s="136"/>
      <c r="L13" s="136"/>
    </row>
    <row r="14" spans="1:12" ht="11.2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36"/>
      <c r="L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40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261.38790299999999</v>
      </c>
      <c r="I17" s="868"/>
      <c r="J17" s="868"/>
      <c r="K17" s="136"/>
      <c r="L17" s="136"/>
    </row>
    <row r="18" spans="1:12" x14ac:dyDescent="0.25">
      <c r="A18" s="140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379.68710999999996</v>
      </c>
      <c r="I18" s="868"/>
      <c r="J18" s="868"/>
      <c r="K18" s="136"/>
      <c r="L18" s="136"/>
    </row>
    <row r="19" spans="1:12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641.0750129999999</v>
      </c>
      <c r="I19" s="921"/>
      <c r="J19" s="921"/>
      <c r="K19" s="136"/>
      <c r="L19" s="136"/>
    </row>
    <row r="20" spans="1:12" ht="30" customHeight="1" thickBot="1" x14ac:dyDescent="0.3">
      <c r="A20" s="140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245.38456200000002</v>
      </c>
      <c r="I20" s="923"/>
      <c r="J20" s="924"/>
      <c r="K20" s="136"/>
      <c r="L20" s="136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284" t="s">
        <v>2</v>
      </c>
      <c r="B22" s="286"/>
      <c r="C22" s="912" t="s">
        <v>3</v>
      </c>
      <c r="D22" s="913"/>
      <c r="E22" s="914">
        <v>0.2</v>
      </c>
      <c r="F22" s="914"/>
      <c r="G22" s="914"/>
      <c r="H22" s="868">
        <f>E22*(E12+H19)</f>
        <v>755.79700259999993</v>
      </c>
      <c r="I22" s="868"/>
      <c r="J22" s="868"/>
      <c r="K22" s="136"/>
      <c r="L22" s="136"/>
    </row>
    <row r="23" spans="1:12" x14ac:dyDescent="0.25">
      <c r="A23" s="284" t="s">
        <v>7</v>
      </c>
      <c r="B23" s="286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94.474625324999991</v>
      </c>
      <c r="I23" s="868"/>
      <c r="J23" s="868"/>
      <c r="K23" s="136"/>
      <c r="L23" s="136"/>
    </row>
    <row r="24" spans="1:12" x14ac:dyDescent="0.25">
      <c r="A24" s="284" t="s">
        <v>8</v>
      </c>
      <c r="B24" s="286"/>
      <c r="C24" s="915" t="s">
        <v>42</v>
      </c>
      <c r="D24" s="916"/>
      <c r="E24" s="917">
        <v>0.03</v>
      </c>
      <c r="F24" s="917"/>
      <c r="G24" s="917"/>
      <c r="H24" s="868">
        <f>E24*(E12+H19)</f>
        <v>113.36955038999999</v>
      </c>
      <c r="I24" s="868"/>
      <c r="J24" s="868"/>
      <c r="K24" s="136"/>
      <c r="L24" s="136"/>
    </row>
    <row r="25" spans="1:12" x14ac:dyDescent="0.25">
      <c r="A25" s="284" t="s">
        <v>9</v>
      </c>
      <c r="B25" s="286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56.684775194999993</v>
      </c>
      <c r="I25" s="868"/>
      <c r="J25" s="868"/>
      <c r="K25" s="136"/>
      <c r="L25" s="136"/>
    </row>
    <row r="26" spans="1:12" x14ac:dyDescent="0.25">
      <c r="A26" s="284" t="s">
        <v>10</v>
      </c>
      <c r="B26" s="286"/>
      <c r="C26" s="284" t="s">
        <v>44</v>
      </c>
      <c r="D26" s="286"/>
      <c r="E26" s="877">
        <v>0.01</v>
      </c>
      <c r="F26" s="877"/>
      <c r="G26" s="877"/>
      <c r="H26" s="868">
        <f>E26*(E12+H19)</f>
        <v>37.789850129999998</v>
      </c>
      <c r="I26" s="868"/>
      <c r="J26" s="868"/>
      <c r="K26" s="136"/>
      <c r="L26" s="136"/>
    </row>
    <row r="27" spans="1:12" x14ac:dyDescent="0.25">
      <c r="A27" s="284" t="s">
        <v>11</v>
      </c>
      <c r="B27" s="286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22.673910077999999</v>
      </c>
      <c r="I27" s="868"/>
      <c r="J27" s="868"/>
      <c r="K27" s="136"/>
      <c r="L27" s="136"/>
    </row>
    <row r="28" spans="1:12" x14ac:dyDescent="0.25">
      <c r="A28" s="284" t="s">
        <v>39</v>
      </c>
      <c r="B28" s="286"/>
      <c r="C28" s="284" t="s">
        <v>5</v>
      </c>
      <c r="D28" s="286"/>
      <c r="E28" s="877">
        <v>2E-3</v>
      </c>
      <c r="F28" s="877"/>
      <c r="G28" s="877"/>
      <c r="H28" s="868">
        <f>E28*(E12+H19)</f>
        <v>7.5579700259999996</v>
      </c>
      <c r="I28" s="868"/>
      <c r="J28" s="868"/>
      <c r="K28" s="136"/>
      <c r="L28" s="136"/>
    </row>
    <row r="29" spans="1:12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302.31880103999998</v>
      </c>
      <c r="I29" s="868"/>
      <c r="J29" s="868"/>
      <c r="K29" s="136"/>
      <c r="L29" s="136"/>
    </row>
    <row r="30" spans="1:12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1390.666484784</v>
      </c>
      <c r="I30" s="869"/>
      <c r="J30" s="869"/>
      <c r="K30" s="136"/>
      <c r="L30" s="136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284" t="s">
        <v>2</v>
      </c>
      <c r="B32" s="286"/>
      <c r="C32" s="912" t="s">
        <v>46</v>
      </c>
      <c r="D32" s="913"/>
      <c r="E32" s="914"/>
      <c r="F32" s="914"/>
      <c r="G32" s="914"/>
      <c r="H32" s="868">
        <f>(3.9*2*16)-6%*F6</f>
        <v>124.8</v>
      </c>
      <c r="I32" s="868"/>
      <c r="J32" s="868"/>
      <c r="K32" s="136"/>
      <c r="L32" s="136"/>
    </row>
    <row r="33" spans="1:12" x14ac:dyDescent="0.25">
      <c r="A33" s="284" t="s">
        <v>7</v>
      </c>
      <c r="B33" s="286"/>
      <c r="C33" s="284" t="s">
        <v>47</v>
      </c>
      <c r="D33" s="286"/>
      <c r="E33" s="877"/>
      <c r="F33" s="877"/>
      <c r="G33" s="877"/>
      <c r="H33" s="868">
        <f>21.63*16-20%</f>
        <v>345.88</v>
      </c>
      <c r="I33" s="868"/>
      <c r="J33" s="868"/>
      <c r="K33" s="136"/>
      <c r="L33" s="136"/>
    </row>
    <row r="34" spans="1:12" x14ac:dyDescent="0.25">
      <c r="A34" s="284" t="s">
        <v>8</v>
      </c>
      <c r="B34" s="286"/>
      <c r="C34" s="284" t="s">
        <v>49</v>
      </c>
      <c r="D34" s="286"/>
      <c r="E34" s="877"/>
      <c r="F34" s="877"/>
      <c r="G34" s="877"/>
      <c r="H34" s="868">
        <v>0</v>
      </c>
      <c r="I34" s="868"/>
      <c r="J34" s="868"/>
      <c r="K34" s="136"/>
      <c r="L34" s="136"/>
    </row>
    <row r="35" spans="1:12" x14ac:dyDescent="0.25">
      <c r="A35" s="284" t="s">
        <v>9</v>
      </c>
      <c r="B35" s="286"/>
      <c r="C35" s="478" t="s">
        <v>119</v>
      </c>
      <c r="D35" s="479"/>
      <c r="E35" s="877"/>
      <c r="F35" s="877"/>
      <c r="G35" s="877"/>
      <c r="H35" s="868">
        <v>25.95</v>
      </c>
      <c r="I35" s="868"/>
      <c r="J35" s="868"/>
      <c r="K35" s="136"/>
      <c r="L35" s="136"/>
    </row>
    <row r="36" spans="1:12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496.63</v>
      </c>
      <c r="I36" s="867"/>
      <c r="J36" s="867"/>
      <c r="K36" s="136"/>
      <c r="L36" s="136"/>
    </row>
    <row r="37" spans="1:12" ht="15.75" thickBot="1" x14ac:dyDescent="0.3">
      <c r="A37" s="882" t="s">
        <v>72</v>
      </c>
      <c r="B37" s="883"/>
      <c r="C37" s="883"/>
      <c r="D37" s="925"/>
      <c r="E37" s="938">
        <f>H19+H30+H36</f>
        <v>2528.371497784</v>
      </c>
      <c r="F37" s="885"/>
      <c r="G37" s="885"/>
      <c r="H37" s="885"/>
      <c r="I37" s="885"/>
      <c r="J37" s="886"/>
      <c r="K37" s="136"/>
      <c r="L37" s="136"/>
    </row>
    <row r="38" spans="1:12" ht="11.2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36"/>
      <c r="L38" s="136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4" t="s">
        <v>2</v>
      </c>
      <c r="B40" s="455"/>
      <c r="C40" s="454" t="s">
        <v>51</v>
      </c>
      <c r="D40" s="455"/>
      <c r="E40" s="150"/>
      <c r="F40" s="151"/>
      <c r="G40" s="152"/>
      <c r="H40" s="870">
        <f>E12/12*5%</f>
        <v>13.074625000000001</v>
      </c>
      <c r="I40" s="871"/>
      <c r="J40" s="455"/>
      <c r="K40" s="136"/>
      <c r="L40" s="136"/>
    </row>
    <row r="41" spans="1:12" x14ac:dyDescent="0.25">
      <c r="A41" s="454" t="s">
        <v>7</v>
      </c>
      <c r="B41" s="455"/>
      <c r="C41" s="454" t="s">
        <v>52</v>
      </c>
      <c r="D41" s="455"/>
      <c r="E41" s="150"/>
      <c r="F41" s="151"/>
      <c r="G41" s="152"/>
      <c r="H41" s="870">
        <f>H40*8%</f>
        <v>1.0459700000000001</v>
      </c>
      <c r="I41" s="871"/>
      <c r="J41" s="455"/>
      <c r="K41" s="136"/>
      <c r="L41" s="136"/>
    </row>
    <row r="42" spans="1:12" ht="28.5" customHeight="1" x14ac:dyDescent="0.25">
      <c r="A42" s="320" t="s">
        <v>8</v>
      </c>
      <c r="B42" s="321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36"/>
      <c r="L42" s="136"/>
    </row>
    <row r="43" spans="1:12" x14ac:dyDescent="0.25">
      <c r="A43" s="876" t="s">
        <v>9</v>
      </c>
      <c r="B43" s="876"/>
      <c r="C43" s="284" t="s">
        <v>54</v>
      </c>
      <c r="D43" s="286"/>
      <c r="E43" s="877"/>
      <c r="F43" s="877"/>
      <c r="G43" s="877"/>
      <c r="H43" s="868">
        <f>E12/30/12*7*100%</f>
        <v>61.014916666666657</v>
      </c>
      <c r="I43" s="868"/>
      <c r="J43" s="868"/>
      <c r="K43" s="136"/>
      <c r="L43" s="136"/>
    </row>
    <row r="44" spans="1:12" ht="29.25" customHeight="1" x14ac:dyDescent="0.25">
      <c r="A44" s="876" t="s">
        <v>10</v>
      </c>
      <c r="B44" s="876"/>
      <c r="C44" s="478" t="s">
        <v>83</v>
      </c>
      <c r="D44" s="479"/>
      <c r="E44" s="877"/>
      <c r="F44" s="877"/>
      <c r="G44" s="877"/>
      <c r="H44" s="868">
        <f>H43*39.8%</f>
        <v>24.283936833333328</v>
      </c>
      <c r="I44" s="868"/>
      <c r="J44" s="868"/>
      <c r="K44" s="136"/>
      <c r="L44" s="136"/>
    </row>
    <row r="45" spans="1:12" ht="33" customHeight="1" thickBot="1" x14ac:dyDescent="0.3">
      <c r="A45" s="526" t="s">
        <v>11</v>
      </c>
      <c r="B45" s="528"/>
      <c r="C45" s="903" t="s">
        <v>53</v>
      </c>
      <c r="D45" s="904"/>
      <c r="E45" s="897"/>
      <c r="F45" s="898"/>
      <c r="G45" s="899"/>
      <c r="H45" s="900">
        <f>E12*5%</f>
        <v>156.8955</v>
      </c>
      <c r="I45" s="901"/>
      <c r="J45" s="902"/>
      <c r="K45" s="136"/>
      <c r="L45" s="136"/>
    </row>
    <row r="46" spans="1:12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8"/>
      <c r="H46" s="894">
        <f>SUM(H40:J45)</f>
        <v>256.31494850000001</v>
      </c>
      <c r="I46" s="895"/>
      <c r="J46" s="896"/>
      <c r="K46" s="136"/>
      <c r="L46" s="136"/>
    </row>
    <row r="47" spans="1:12" ht="9" customHeight="1" thickBot="1" x14ac:dyDescent="0.3">
      <c r="A47" s="143"/>
      <c r="B47" s="143"/>
      <c r="C47" s="143"/>
      <c r="D47" s="143"/>
      <c r="E47" s="153"/>
      <c r="F47" s="153"/>
      <c r="G47" s="153"/>
      <c r="H47" s="166"/>
      <c r="I47" s="166"/>
      <c r="J47" s="166"/>
      <c r="K47" s="136"/>
      <c r="L47" s="136"/>
    </row>
    <row r="48" spans="1:12" ht="33" customHeight="1" thickBot="1" x14ac:dyDescent="0.3">
      <c r="A48" s="494" t="s">
        <v>128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4" t="s">
        <v>2</v>
      </c>
      <c r="B49" s="455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36"/>
      <c r="L49" s="136"/>
    </row>
    <row r="50" spans="1:12" x14ac:dyDescent="0.25">
      <c r="A50" s="454" t="s">
        <v>7</v>
      </c>
      <c r="B50" s="455"/>
      <c r="C50" s="454" t="s">
        <v>57</v>
      </c>
      <c r="D50" s="455"/>
      <c r="E50" s="150"/>
      <c r="F50" s="151"/>
      <c r="G50" s="152"/>
      <c r="H50" s="870">
        <f>E12/30/12</f>
        <v>8.7164166666666656</v>
      </c>
      <c r="I50" s="871"/>
      <c r="J50" s="455"/>
      <c r="K50" s="136"/>
      <c r="L50" s="136"/>
    </row>
    <row r="51" spans="1:12" x14ac:dyDescent="0.25">
      <c r="A51" s="320" t="s">
        <v>8</v>
      </c>
      <c r="B51" s="321"/>
      <c r="C51" s="320" t="s">
        <v>58</v>
      </c>
      <c r="D51" s="321"/>
      <c r="E51" s="873"/>
      <c r="F51" s="874"/>
      <c r="G51" s="875"/>
      <c r="H51" s="868">
        <f>E12/30/12*5*1.5%</f>
        <v>0.65373124999999987</v>
      </c>
      <c r="I51" s="868"/>
      <c r="J51" s="868"/>
      <c r="K51" s="136"/>
      <c r="L51" s="136"/>
    </row>
    <row r="52" spans="1:12" ht="33.75" customHeight="1" x14ac:dyDescent="0.25">
      <c r="A52" s="876" t="s">
        <v>9</v>
      </c>
      <c r="B52" s="876"/>
      <c r="C52" s="284" t="s">
        <v>59</v>
      </c>
      <c r="D52" s="286"/>
      <c r="E52" s="877"/>
      <c r="F52" s="877"/>
      <c r="G52" s="877"/>
      <c r="H52" s="868">
        <f>E12/30/12*15*8%</f>
        <v>10.459699999999998</v>
      </c>
      <c r="I52" s="868"/>
      <c r="J52" s="868"/>
      <c r="K52" s="136"/>
      <c r="L52" s="136"/>
    </row>
    <row r="53" spans="1:12" x14ac:dyDescent="0.25">
      <c r="A53" s="876" t="s">
        <v>10</v>
      </c>
      <c r="B53" s="876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36"/>
      <c r="L53" s="136"/>
    </row>
    <row r="54" spans="1:12" x14ac:dyDescent="0.25">
      <c r="A54" s="876" t="s">
        <v>11</v>
      </c>
      <c r="B54" s="876"/>
      <c r="C54" s="478" t="s">
        <v>61</v>
      </c>
      <c r="D54" s="479"/>
      <c r="E54" s="877"/>
      <c r="F54" s="877"/>
      <c r="G54" s="877"/>
      <c r="H54" s="868">
        <f>E12/30/12*5*40%</f>
        <v>17.432833333333331</v>
      </c>
      <c r="I54" s="868"/>
      <c r="J54" s="868"/>
      <c r="K54" s="136"/>
      <c r="L54" s="136"/>
    </row>
    <row r="55" spans="1:12" ht="28.5" customHeight="1" x14ac:dyDescent="0.25">
      <c r="A55" s="876" t="s">
        <v>39</v>
      </c>
      <c r="B55" s="876"/>
      <c r="C55" s="478" t="s">
        <v>62</v>
      </c>
      <c r="D55" s="479"/>
      <c r="E55" s="877"/>
      <c r="F55" s="877"/>
      <c r="G55" s="877"/>
      <c r="H55" s="868">
        <f>SUM(H49:J54)*39.8%</f>
        <v>14.832232999166662</v>
      </c>
      <c r="I55" s="868"/>
      <c r="J55" s="868"/>
      <c r="K55" s="136"/>
      <c r="L55" s="136"/>
    </row>
    <row r="56" spans="1:12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52.099150082499989</v>
      </c>
      <c r="I56" s="869"/>
      <c r="J56" s="869"/>
      <c r="K56" s="136"/>
      <c r="L56" s="136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0.75" customHeight="1" x14ac:dyDescent="0.25">
      <c r="A58" s="454" t="s">
        <v>2</v>
      </c>
      <c r="B58" s="455"/>
      <c r="C58" s="454" t="s">
        <v>64</v>
      </c>
      <c r="D58" s="455"/>
      <c r="E58" s="150"/>
      <c r="F58" s="151"/>
      <c r="G58" s="152"/>
      <c r="H58" s="870">
        <f>((((E12+(E12/3))*0.3333)/12)*2%)</f>
        <v>2.3241453400000003</v>
      </c>
      <c r="I58" s="871"/>
      <c r="J58" s="455"/>
      <c r="K58" s="136"/>
      <c r="L58" s="136"/>
    </row>
    <row r="59" spans="1:12" ht="43.5" customHeight="1" x14ac:dyDescent="0.25">
      <c r="A59" s="454" t="s">
        <v>7</v>
      </c>
      <c r="B59" s="455"/>
      <c r="C59" s="454" t="s">
        <v>65</v>
      </c>
      <c r="D59" s="455"/>
      <c r="E59" s="150"/>
      <c r="F59" s="151"/>
      <c r="G59" s="152"/>
      <c r="H59" s="870">
        <f>H58*39.8%</f>
        <v>0.92500984532000008</v>
      </c>
      <c r="I59" s="871"/>
      <c r="J59" s="455"/>
      <c r="K59" s="136"/>
      <c r="L59" s="136"/>
    </row>
    <row r="60" spans="1:12" ht="43.5" customHeight="1" x14ac:dyDescent="0.25">
      <c r="A60" s="320" t="s">
        <v>8</v>
      </c>
      <c r="B60" s="321"/>
      <c r="C60" s="454" t="s">
        <v>66</v>
      </c>
      <c r="D60" s="455"/>
      <c r="E60" s="873"/>
      <c r="F60" s="874"/>
      <c r="G60" s="875"/>
      <c r="H60" s="868">
        <f>(((E12+H17)*0.333)*2%)*39.8%</f>
        <v>9.0104509655240399</v>
      </c>
      <c r="I60" s="868"/>
      <c r="J60" s="868"/>
      <c r="K60" s="136"/>
      <c r="L60" s="136"/>
    </row>
    <row r="61" spans="1:12" x14ac:dyDescent="0.25">
      <c r="A61" s="876" t="s">
        <v>9</v>
      </c>
      <c r="B61" s="876"/>
      <c r="C61" s="284" t="s">
        <v>67</v>
      </c>
      <c r="D61" s="286"/>
      <c r="E61" s="877"/>
      <c r="F61" s="877"/>
      <c r="G61" s="877"/>
      <c r="H61" s="868"/>
      <c r="I61" s="868"/>
      <c r="J61" s="868"/>
      <c r="K61" s="136"/>
      <c r="L61" s="136"/>
    </row>
    <row r="62" spans="1:12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12.259606150844039</v>
      </c>
      <c r="I62" s="869"/>
      <c r="J62" s="869"/>
      <c r="K62" s="136"/>
      <c r="L62" s="136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3" customHeight="1" x14ac:dyDescent="0.25">
      <c r="A64" s="454" t="s">
        <v>2</v>
      </c>
      <c r="B64" s="455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36"/>
      <c r="L64" s="136"/>
    </row>
    <row r="65" spans="1:12" ht="31.5" customHeight="1" x14ac:dyDescent="0.25">
      <c r="A65" s="454" t="s">
        <v>7</v>
      </c>
      <c r="B65" s="455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36"/>
      <c r="L65" s="136"/>
    </row>
    <row r="66" spans="1:12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36"/>
      <c r="L66" s="136"/>
    </row>
    <row r="67" spans="1:12" ht="15.75" thickBot="1" x14ac:dyDescent="0.3">
      <c r="A67" s="882" t="s">
        <v>71</v>
      </c>
      <c r="B67" s="883"/>
      <c r="C67" s="883"/>
      <c r="D67" s="925"/>
      <c r="E67" s="938">
        <f>H66+H62+H56</f>
        <v>64.358881523036032</v>
      </c>
      <c r="F67" s="885"/>
      <c r="G67" s="885"/>
      <c r="H67" s="885"/>
      <c r="I67" s="885"/>
      <c r="J67" s="886"/>
      <c r="K67" s="136"/>
      <c r="L67" s="136"/>
    </row>
    <row r="68" spans="1:12" ht="11.2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36"/>
      <c r="L68" s="136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4" t="s">
        <v>2</v>
      </c>
      <c r="B70" s="455"/>
      <c r="C70" s="454" t="s">
        <v>74</v>
      </c>
      <c r="D70" s="455"/>
      <c r="E70" s="892"/>
      <c r="F70" s="890"/>
      <c r="G70" s="891"/>
      <c r="H70" s="870">
        <v>300</v>
      </c>
      <c r="I70" s="871"/>
      <c r="J70" s="455"/>
      <c r="K70" s="136"/>
      <c r="L70" s="136"/>
    </row>
    <row r="71" spans="1:12" x14ac:dyDescent="0.25">
      <c r="A71" s="454" t="s">
        <v>7</v>
      </c>
      <c r="B71" s="455"/>
      <c r="C71" s="454" t="s">
        <v>75</v>
      </c>
      <c r="D71" s="455"/>
      <c r="E71" s="150"/>
      <c r="F71" s="151"/>
      <c r="G71" s="152"/>
      <c r="H71" s="870"/>
      <c r="I71" s="871"/>
      <c r="J71" s="455"/>
      <c r="K71" s="136"/>
      <c r="L71" s="136"/>
    </row>
    <row r="72" spans="1:12" x14ac:dyDescent="0.25">
      <c r="A72" s="320" t="s">
        <v>8</v>
      </c>
      <c r="B72" s="321"/>
      <c r="C72" s="320" t="s">
        <v>76</v>
      </c>
      <c r="D72" s="321"/>
      <c r="E72" s="873"/>
      <c r="F72" s="874"/>
      <c r="G72" s="875"/>
      <c r="H72" s="868">
        <v>75</v>
      </c>
      <c r="I72" s="868"/>
      <c r="J72" s="868"/>
      <c r="K72" s="136"/>
      <c r="L72" s="136"/>
    </row>
    <row r="73" spans="1:12" ht="15.75" thickBot="1" x14ac:dyDescent="0.3">
      <c r="A73" s="893" t="s">
        <v>9</v>
      </c>
      <c r="B73" s="893"/>
      <c r="C73" s="526" t="s">
        <v>28</v>
      </c>
      <c r="D73" s="528"/>
      <c r="E73" s="887"/>
      <c r="F73" s="887"/>
      <c r="G73" s="887"/>
      <c r="H73" s="888">
        <v>4.5</v>
      </c>
      <c r="I73" s="888"/>
      <c r="J73" s="888"/>
      <c r="K73" s="136"/>
      <c r="L73" s="136"/>
    </row>
    <row r="74" spans="1:12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8"/>
      <c r="H74" s="894">
        <f>SUM(H70:J73)</f>
        <v>379.5</v>
      </c>
      <c r="I74" s="895"/>
      <c r="J74" s="896"/>
      <c r="K74" s="136"/>
      <c r="L74" s="136"/>
    </row>
    <row r="75" spans="1:12" ht="11.25" customHeight="1" thickBot="1" x14ac:dyDescent="0.3">
      <c r="A75" s="143"/>
      <c r="B75" s="143"/>
      <c r="C75" s="143"/>
      <c r="D75" s="143"/>
      <c r="E75" s="153"/>
      <c r="F75" s="153"/>
      <c r="G75" s="153"/>
      <c r="H75" s="166"/>
      <c r="I75" s="166"/>
      <c r="J75" s="166"/>
      <c r="K75" s="136"/>
      <c r="L75" s="136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4" t="s">
        <v>2</v>
      </c>
      <c r="B77" s="455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445.65187294649257</v>
      </c>
      <c r="I77" s="871"/>
      <c r="J77" s="455"/>
      <c r="K77" s="136"/>
      <c r="L77" s="136"/>
    </row>
    <row r="78" spans="1:12" x14ac:dyDescent="0.25">
      <c r="A78" s="454" t="s">
        <v>7</v>
      </c>
      <c r="B78" s="455"/>
      <c r="C78" s="454" t="s">
        <v>12</v>
      </c>
      <c r="D78" s="455"/>
      <c r="E78" s="889">
        <v>7.5774402686973108E-2</v>
      </c>
      <c r="F78" s="890"/>
      <c r="G78" s="891"/>
      <c r="H78" s="870">
        <f>E78*(H74+E67+H46+E37+E12)</f>
        <v>482.41434969787576</v>
      </c>
      <c r="I78" s="871"/>
      <c r="J78" s="455"/>
      <c r="K78" s="136"/>
      <c r="L78" s="136"/>
    </row>
    <row r="79" spans="1:12" x14ac:dyDescent="0.25">
      <c r="A79" s="320" t="s">
        <v>8</v>
      </c>
      <c r="B79" s="321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7424.4377000665145</v>
      </c>
      <c r="I79" s="868"/>
      <c r="J79" s="868"/>
      <c r="K79" s="136"/>
      <c r="L79" s="136"/>
    </row>
    <row r="80" spans="1:12" x14ac:dyDescent="0.25">
      <c r="A80" s="876" t="s">
        <v>9</v>
      </c>
      <c r="B80" s="876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96.473190000000002</v>
      </c>
      <c r="I80" s="868"/>
      <c r="J80" s="868"/>
      <c r="K80" s="136"/>
      <c r="L80" s="136"/>
    </row>
    <row r="81" spans="1:12" x14ac:dyDescent="0.25">
      <c r="A81" s="876" t="s">
        <v>9</v>
      </c>
      <c r="B81" s="876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444.36135999999999</v>
      </c>
      <c r="I81" s="868"/>
      <c r="J81" s="868"/>
      <c r="K81" s="136"/>
      <c r="L81" s="136"/>
    </row>
    <row r="82" spans="1:12" x14ac:dyDescent="0.25">
      <c r="A82" s="876" t="s">
        <v>10</v>
      </c>
      <c r="B82" s="876"/>
      <c r="C82" s="284" t="s">
        <v>81</v>
      </c>
      <c r="D82" s="286"/>
      <c r="E82" s="877"/>
      <c r="F82" s="877"/>
      <c r="G82" s="877"/>
      <c r="H82" s="868"/>
      <c r="I82" s="868"/>
      <c r="J82" s="868"/>
      <c r="K82" s="136"/>
      <c r="L82" s="136"/>
    </row>
    <row r="83" spans="1:12" ht="15.75" thickBot="1" x14ac:dyDescent="0.3">
      <c r="A83" s="893" t="s">
        <v>11</v>
      </c>
      <c r="B83" s="893"/>
      <c r="C83" s="526" t="s">
        <v>82</v>
      </c>
      <c r="D83" s="528"/>
      <c r="E83" s="887">
        <v>0.05</v>
      </c>
      <c r="F83" s="887"/>
      <c r="G83" s="887"/>
      <c r="H83" s="888">
        <f>E83*D88</f>
        <v>292.34300000000002</v>
      </c>
      <c r="I83" s="888"/>
      <c r="J83" s="888"/>
      <c r="K83" s="136"/>
      <c r="L83" s="136"/>
    </row>
    <row r="84" spans="1:12" ht="12.75" customHeight="1" thickBot="1" x14ac:dyDescent="0.3">
      <c r="A84" s="507" t="s">
        <v>321</v>
      </c>
      <c r="B84" s="508"/>
      <c r="C84" s="508"/>
      <c r="D84" s="508"/>
      <c r="E84" s="508"/>
      <c r="F84" s="508"/>
      <c r="G84" s="508"/>
      <c r="H84" s="894">
        <f>H77+H78+H80+H81+H83</f>
        <v>1761.2437726443684</v>
      </c>
      <c r="I84" s="895"/>
      <c r="J84" s="896"/>
      <c r="K84" s="136"/>
      <c r="L84" s="136"/>
    </row>
    <row r="85" spans="1:12" ht="11.25" customHeight="1" thickBot="1" x14ac:dyDescent="0.3">
      <c r="A85" s="143"/>
      <c r="B85" s="143"/>
      <c r="C85" s="143"/>
      <c r="D85" s="143"/>
      <c r="E85" s="153"/>
      <c r="F85" s="153"/>
      <c r="G85" s="153"/>
      <c r="H85" s="166"/>
      <c r="I85" s="166"/>
      <c r="J85" s="166"/>
      <c r="K85" s="136"/>
      <c r="L85" s="136"/>
    </row>
    <row r="86" spans="1:12" ht="15.75" thickBot="1" x14ac:dyDescent="0.3">
      <c r="A86" s="939" t="s">
        <v>85</v>
      </c>
      <c r="B86" s="940"/>
      <c r="C86" s="940"/>
      <c r="D86" s="940"/>
      <c r="E86" s="940"/>
      <c r="F86" s="940"/>
      <c r="G86" s="940"/>
      <c r="H86" s="941">
        <f>SUM(H84+H74+E67+H46+E37+E12)</f>
        <v>8127.6991004514039</v>
      </c>
      <c r="I86" s="942"/>
      <c r="J86" s="943"/>
      <c r="K86" s="136"/>
      <c r="L86" s="136"/>
    </row>
    <row r="87" spans="1:12" x14ac:dyDescent="0.25">
      <c r="A87" s="136"/>
      <c r="B87" s="136"/>
      <c r="C87" s="136"/>
      <c r="D87" s="136"/>
      <c r="E87" s="164"/>
      <c r="F87" s="164"/>
      <c r="G87" s="164"/>
      <c r="H87" s="136"/>
      <c r="I87" s="136"/>
      <c r="J87" s="136"/>
      <c r="K87" s="136"/>
      <c r="L87" s="136"/>
    </row>
    <row r="88" spans="1:12" x14ac:dyDescent="0.25">
      <c r="A88" s="136"/>
      <c r="B88" s="136"/>
      <c r="C88" s="136"/>
      <c r="D88" s="165">
        <v>5846.86</v>
      </c>
      <c r="E88" s="164"/>
      <c r="F88" s="164"/>
      <c r="G88" s="164"/>
      <c r="H88" s="136"/>
      <c r="I88" s="136"/>
      <c r="J88" s="136"/>
      <c r="K88" s="136"/>
      <c r="L88" s="136"/>
    </row>
    <row r="89" spans="1:12" x14ac:dyDescent="0.25">
      <c r="A89" s="136"/>
      <c r="B89" s="136"/>
      <c r="C89" s="136"/>
      <c r="D89" s="136"/>
      <c r="E89" s="164"/>
      <c r="F89" s="164"/>
      <c r="G89" s="164"/>
      <c r="H89" s="136"/>
      <c r="I89" s="136"/>
      <c r="J89" s="136"/>
      <c r="K89" s="136"/>
      <c r="L89" s="136"/>
    </row>
    <row r="90" spans="1:12" x14ac:dyDescent="0.25">
      <c r="A90" s="136"/>
      <c r="B90" s="136"/>
      <c r="C90" s="136"/>
      <c r="D90" s="136"/>
      <c r="E90" s="164"/>
      <c r="F90" s="164"/>
      <c r="G90" s="164"/>
      <c r="H90" s="136"/>
      <c r="I90" s="136"/>
      <c r="J90" s="136"/>
      <c r="K90" s="136"/>
      <c r="L90" s="136"/>
    </row>
    <row r="91" spans="1:12" x14ac:dyDescent="0.25">
      <c r="A91" s="136"/>
      <c r="B91" s="136"/>
      <c r="C91" s="136"/>
      <c r="D91" s="136"/>
      <c r="E91" s="164"/>
      <c r="F91" s="164"/>
      <c r="G91" s="164"/>
      <c r="H91" s="136"/>
      <c r="I91" s="136"/>
      <c r="J91" s="136"/>
      <c r="K91" s="136"/>
      <c r="L91" s="136"/>
    </row>
    <row r="92" spans="1:12" ht="15.75" thickBot="1" x14ac:dyDescent="0.3">
      <c r="A92" s="136"/>
      <c r="B92" s="136"/>
      <c r="C92" s="136"/>
      <c r="D92" s="136"/>
      <c r="E92" s="164"/>
      <c r="F92" s="164"/>
      <c r="G92" s="164"/>
      <c r="H92" s="136"/>
      <c r="I92" s="136"/>
      <c r="J92" s="136"/>
      <c r="K92" s="136"/>
      <c r="L92" s="136"/>
    </row>
  </sheetData>
  <mergeCells count="230">
    <mergeCell ref="A1:J1"/>
    <mergeCell ref="A2:C2"/>
    <mergeCell ref="D2:J2"/>
    <mergeCell ref="A3:J3"/>
    <mergeCell ref="A46:G46"/>
    <mergeCell ref="A74:G74"/>
    <mergeCell ref="A84:G8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</mergeCells>
  <pageMargins left="1.02362204724409" right="0.62992125984252001" top="1.37795275590551" bottom="1.37795275590551" header="0.511811023622047" footer="0.511811023622047"/>
  <pageSetup paperSize="9" fitToHeight="0" orientation="portrait" r:id="rId1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4659260841701"/>
  </sheetPr>
  <dimension ref="A1:L92"/>
  <sheetViews>
    <sheetView topLeftCell="A67" workbookViewId="0">
      <selection activeCell="M62" sqref="M62"/>
    </sheetView>
  </sheetViews>
  <sheetFormatPr defaultRowHeight="15" x14ac:dyDescent="0.25"/>
  <cols>
    <col min="1" max="1" width="6.7109375" style="134" customWidth="1"/>
    <col min="2" max="2" width="2.7109375" style="134" customWidth="1"/>
    <col min="3" max="3" width="9" style="134" customWidth="1"/>
    <col min="4" max="4" width="42.7109375" style="134" customWidth="1"/>
    <col min="5" max="6" width="2.85546875" style="116" customWidth="1"/>
    <col min="7" max="7" width="3.28515625" style="116" customWidth="1"/>
    <col min="8" max="8" width="3.85546875" style="134" customWidth="1"/>
    <col min="9" max="9" width="1.85546875" style="134" customWidth="1"/>
    <col min="10" max="10" width="6.570312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376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36"/>
      <c r="L5" s="136"/>
    </row>
    <row r="6" spans="1:12" x14ac:dyDescent="0.25">
      <c r="A6" s="139" t="s">
        <v>2</v>
      </c>
      <c r="B6" s="929" t="s">
        <v>1</v>
      </c>
      <c r="C6" s="930"/>
      <c r="D6" s="931"/>
      <c r="E6" s="949">
        <v>2719.91</v>
      </c>
      <c r="F6" s="949"/>
      <c r="G6" s="949"/>
      <c r="H6" s="949"/>
      <c r="I6" s="949"/>
      <c r="J6" s="949"/>
      <c r="K6" s="136"/>
      <c r="L6" s="136"/>
    </row>
    <row r="7" spans="1:12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36"/>
      <c r="L7" s="136"/>
    </row>
    <row r="8" spans="1:12" x14ac:dyDescent="0.25">
      <c r="A8" s="139" t="s">
        <v>8</v>
      </c>
      <c r="B8" s="929" t="s">
        <v>26</v>
      </c>
      <c r="C8" s="930"/>
      <c r="D8" s="931"/>
      <c r="E8" s="951">
        <f>((((E6+E11)/210)*20%)*9)*16</f>
        <v>430.3419428571429</v>
      </c>
      <c r="F8" s="952"/>
      <c r="G8" s="952"/>
      <c r="H8" s="952"/>
      <c r="I8" s="952"/>
      <c r="J8" s="953"/>
      <c r="K8" s="136"/>
      <c r="L8" s="136"/>
    </row>
    <row r="9" spans="1:12" x14ac:dyDescent="0.25">
      <c r="A9" s="139" t="s">
        <v>9</v>
      </c>
      <c r="B9" s="929" t="s">
        <v>27</v>
      </c>
      <c r="C9" s="930"/>
      <c r="D9" s="931"/>
      <c r="E9" s="951">
        <f>((((E6+E11)/210)*20%)*0.14)*16</f>
        <v>6.6942080000000006</v>
      </c>
      <c r="F9" s="952"/>
      <c r="G9" s="952"/>
      <c r="H9" s="952"/>
      <c r="I9" s="952"/>
      <c r="J9" s="953"/>
      <c r="K9" s="136"/>
      <c r="L9" s="136"/>
    </row>
    <row r="10" spans="1:12" x14ac:dyDescent="0.25">
      <c r="A10" s="139" t="s">
        <v>10</v>
      </c>
      <c r="B10" s="929" t="s">
        <v>28</v>
      </c>
      <c r="C10" s="930"/>
      <c r="D10" s="931"/>
      <c r="E10" s="949">
        <f>((E8+E9)/25)*5</f>
        <v>87.40723017142858</v>
      </c>
      <c r="F10" s="949"/>
      <c r="G10" s="949"/>
      <c r="H10" s="949"/>
      <c r="I10" s="949"/>
      <c r="J10" s="949"/>
      <c r="K10" s="136"/>
      <c r="L10" s="136"/>
    </row>
    <row r="11" spans="1:12" ht="16.5" customHeight="1" thickBot="1" x14ac:dyDescent="0.3">
      <c r="A11" s="142" t="s">
        <v>11</v>
      </c>
      <c r="B11" s="609" t="s">
        <v>161</v>
      </c>
      <c r="C11" s="610"/>
      <c r="D11" s="611"/>
      <c r="E11" s="950">
        <f>1045*40%</f>
        <v>418</v>
      </c>
      <c r="F11" s="950"/>
      <c r="G11" s="950"/>
      <c r="H11" s="950"/>
      <c r="I11" s="950"/>
      <c r="J11" s="950"/>
      <c r="K11" s="136"/>
      <c r="L11" s="136"/>
    </row>
    <row r="12" spans="1:12" ht="15.75" thickBot="1" x14ac:dyDescent="0.3">
      <c r="A12" s="882" t="s">
        <v>330</v>
      </c>
      <c r="B12" s="883"/>
      <c r="C12" s="883"/>
      <c r="D12" s="925"/>
      <c r="E12" s="894">
        <f>SUM(E6:J11)</f>
        <v>3662.3533810285712</v>
      </c>
      <c r="F12" s="895"/>
      <c r="G12" s="895"/>
      <c r="H12" s="895"/>
      <c r="I12" s="895"/>
      <c r="J12" s="896"/>
      <c r="K12" s="136"/>
      <c r="L12" s="136"/>
    </row>
    <row r="13" spans="1:12" ht="29.25" customHeight="1" x14ac:dyDescent="0.25">
      <c r="A13" s="551" t="s">
        <v>29</v>
      </c>
      <c r="B13" s="715"/>
      <c r="C13" s="715"/>
      <c r="D13" s="716"/>
      <c r="E13" s="926">
        <f>E12*E30</f>
        <v>1347.7460442185145</v>
      </c>
      <c r="F13" s="927"/>
      <c r="G13" s="927"/>
      <c r="H13" s="927"/>
      <c r="I13" s="927"/>
      <c r="J13" s="928"/>
      <c r="K13" s="136"/>
      <c r="L13" s="136"/>
    </row>
    <row r="14" spans="1:12" ht="12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36"/>
      <c r="L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377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305.07403663968</v>
      </c>
      <c r="I17" s="868"/>
      <c r="J17" s="868"/>
      <c r="K17" s="136"/>
      <c r="L17" s="136"/>
    </row>
    <row r="18" spans="1:12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443.14475910445708</v>
      </c>
      <c r="I18" s="868"/>
      <c r="J18" s="868"/>
      <c r="K18" s="136"/>
      <c r="L18" s="136"/>
    </row>
    <row r="19" spans="1:12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748.21879574413708</v>
      </c>
      <c r="I19" s="921"/>
      <c r="J19" s="921"/>
      <c r="K19" s="136"/>
      <c r="L19" s="136"/>
    </row>
    <row r="20" spans="1:12" ht="31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286.39603439643429</v>
      </c>
      <c r="I20" s="923"/>
      <c r="J20" s="924"/>
      <c r="K20" s="136"/>
      <c r="L20" s="136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284" t="s">
        <v>2</v>
      </c>
      <c r="B22" s="286"/>
      <c r="C22" s="912" t="s">
        <v>3</v>
      </c>
      <c r="D22" s="913"/>
      <c r="E22" s="914">
        <v>0.2</v>
      </c>
      <c r="F22" s="914"/>
      <c r="G22" s="914"/>
      <c r="H22" s="868">
        <f>E22*(E12+H19)</f>
        <v>882.11443535454168</v>
      </c>
      <c r="I22" s="868"/>
      <c r="J22" s="868"/>
      <c r="K22" s="136"/>
      <c r="L22" s="136"/>
    </row>
    <row r="23" spans="1:12" x14ac:dyDescent="0.25">
      <c r="A23" s="284" t="s">
        <v>7</v>
      </c>
      <c r="B23" s="286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110.26430441931771</v>
      </c>
      <c r="I23" s="868"/>
      <c r="J23" s="868"/>
      <c r="K23" s="136"/>
      <c r="L23" s="136"/>
    </row>
    <row r="24" spans="1:12" x14ac:dyDescent="0.25">
      <c r="A24" s="284" t="s">
        <v>8</v>
      </c>
      <c r="B24" s="286"/>
      <c r="C24" s="915" t="s">
        <v>42</v>
      </c>
      <c r="D24" s="916"/>
      <c r="E24" s="917">
        <v>0.03</v>
      </c>
      <c r="F24" s="917"/>
      <c r="G24" s="917"/>
      <c r="H24" s="868">
        <f>E24*(E12+H19)</f>
        <v>132.31716530318124</v>
      </c>
      <c r="I24" s="868"/>
      <c r="J24" s="868"/>
      <c r="K24" s="136"/>
      <c r="L24" s="136"/>
    </row>
    <row r="25" spans="1:12" x14ac:dyDescent="0.25">
      <c r="A25" s="284" t="s">
        <v>9</v>
      </c>
      <c r="B25" s="286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66.158582651590621</v>
      </c>
      <c r="I25" s="868"/>
      <c r="J25" s="868"/>
      <c r="K25" s="136"/>
      <c r="L25" s="136"/>
    </row>
    <row r="26" spans="1:12" x14ac:dyDescent="0.25">
      <c r="A26" s="284" t="s">
        <v>10</v>
      </c>
      <c r="B26" s="286"/>
      <c r="C26" s="284" t="s">
        <v>44</v>
      </c>
      <c r="D26" s="286"/>
      <c r="E26" s="877">
        <v>0.01</v>
      </c>
      <c r="F26" s="877"/>
      <c r="G26" s="877"/>
      <c r="H26" s="868">
        <f>E26*(E12+H19)</f>
        <v>44.105721767727083</v>
      </c>
      <c r="I26" s="868"/>
      <c r="J26" s="868"/>
      <c r="K26" s="136"/>
      <c r="L26" s="136"/>
    </row>
    <row r="27" spans="1:12" x14ac:dyDescent="0.25">
      <c r="A27" s="284" t="s">
        <v>11</v>
      </c>
      <c r="B27" s="286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26.463433060636248</v>
      </c>
      <c r="I27" s="868"/>
      <c r="J27" s="868"/>
      <c r="K27" s="136"/>
      <c r="L27" s="136"/>
    </row>
    <row r="28" spans="1:12" x14ac:dyDescent="0.25">
      <c r="A28" s="284" t="s">
        <v>39</v>
      </c>
      <c r="B28" s="286"/>
      <c r="C28" s="284" t="s">
        <v>5</v>
      </c>
      <c r="D28" s="286"/>
      <c r="E28" s="877">
        <v>2E-3</v>
      </c>
      <c r="F28" s="877"/>
      <c r="G28" s="877"/>
      <c r="H28" s="868">
        <f>E28*(E12+H19)</f>
        <v>8.8211443535454173</v>
      </c>
      <c r="I28" s="868"/>
      <c r="J28" s="868"/>
      <c r="K28" s="136"/>
      <c r="L28" s="136"/>
    </row>
    <row r="29" spans="1:12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352.84577414181666</v>
      </c>
      <c r="I29" s="868"/>
      <c r="J29" s="868"/>
      <c r="K29" s="136"/>
      <c r="L29" s="136"/>
    </row>
    <row r="30" spans="1:12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1623.0905610523569</v>
      </c>
      <c r="I30" s="869"/>
      <c r="J30" s="869"/>
      <c r="K30" s="136"/>
      <c r="L30" s="136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284" t="s">
        <v>2</v>
      </c>
      <c r="B32" s="286"/>
      <c r="C32" s="912" t="s">
        <v>46</v>
      </c>
      <c r="D32" s="913"/>
      <c r="E32" s="914"/>
      <c r="F32" s="914"/>
      <c r="G32" s="914"/>
      <c r="H32" s="868">
        <f>(3.9*2*16)-6%*F6</f>
        <v>124.8</v>
      </c>
      <c r="I32" s="868"/>
      <c r="J32" s="868"/>
      <c r="K32" s="136"/>
      <c r="L32" s="136"/>
    </row>
    <row r="33" spans="1:12" x14ac:dyDescent="0.25">
      <c r="A33" s="284" t="s">
        <v>7</v>
      </c>
      <c r="B33" s="286"/>
      <c r="C33" s="284" t="s">
        <v>47</v>
      </c>
      <c r="D33" s="286"/>
      <c r="E33" s="877"/>
      <c r="F33" s="877"/>
      <c r="G33" s="877"/>
      <c r="H33" s="868">
        <f>21.63*16-20%</f>
        <v>345.88</v>
      </c>
      <c r="I33" s="868"/>
      <c r="J33" s="868"/>
      <c r="K33" s="136"/>
      <c r="L33" s="136"/>
    </row>
    <row r="34" spans="1:12" x14ac:dyDescent="0.25">
      <c r="A34" s="284" t="s">
        <v>8</v>
      </c>
      <c r="B34" s="286"/>
      <c r="C34" s="284" t="s">
        <v>49</v>
      </c>
      <c r="D34" s="286"/>
      <c r="E34" s="877"/>
      <c r="F34" s="877"/>
      <c r="G34" s="877"/>
      <c r="H34" s="868">
        <v>0</v>
      </c>
      <c r="I34" s="868"/>
      <c r="J34" s="868"/>
      <c r="K34" s="136"/>
      <c r="L34" s="136"/>
    </row>
    <row r="35" spans="1:12" x14ac:dyDescent="0.25">
      <c r="A35" s="284" t="s">
        <v>9</v>
      </c>
      <c r="B35" s="286"/>
      <c r="C35" s="478" t="s">
        <v>119</v>
      </c>
      <c r="D35" s="479"/>
      <c r="E35" s="877"/>
      <c r="F35" s="877"/>
      <c r="G35" s="877"/>
      <c r="H35" s="868">
        <v>25.95</v>
      </c>
      <c r="I35" s="868"/>
      <c r="J35" s="868"/>
      <c r="K35" s="136"/>
      <c r="L35" s="136"/>
    </row>
    <row r="36" spans="1:12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496.63</v>
      </c>
      <c r="I36" s="867"/>
      <c r="J36" s="867"/>
      <c r="K36" s="136"/>
      <c r="L36" s="136"/>
    </row>
    <row r="37" spans="1:12" ht="15.75" thickBot="1" x14ac:dyDescent="0.3">
      <c r="A37" s="882" t="s">
        <v>72</v>
      </c>
      <c r="B37" s="883"/>
      <c r="C37" s="883"/>
      <c r="D37" s="925"/>
      <c r="E37" s="938">
        <f>H19+H30+H36</f>
        <v>2867.9393567964939</v>
      </c>
      <c r="F37" s="885"/>
      <c r="G37" s="885"/>
      <c r="H37" s="885"/>
      <c r="I37" s="885"/>
      <c r="J37" s="886"/>
      <c r="K37" s="136"/>
      <c r="L37" s="136"/>
    </row>
    <row r="38" spans="1:12" ht="12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36"/>
      <c r="L38" s="136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4" t="s">
        <v>2</v>
      </c>
      <c r="B40" s="455"/>
      <c r="C40" s="454" t="s">
        <v>51</v>
      </c>
      <c r="D40" s="455"/>
      <c r="E40" s="150"/>
      <c r="F40" s="151"/>
      <c r="G40" s="152"/>
      <c r="H40" s="870">
        <f>E12/12*5%</f>
        <v>15.259805754285715</v>
      </c>
      <c r="I40" s="871"/>
      <c r="J40" s="455"/>
      <c r="K40" s="136"/>
      <c r="L40" s="136"/>
    </row>
    <row r="41" spans="1:12" x14ac:dyDescent="0.25">
      <c r="A41" s="454" t="s">
        <v>7</v>
      </c>
      <c r="B41" s="455"/>
      <c r="C41" s="454" t="s">
        <v>52</v>
      </c>
      <c r="D41" s="455"/>
      <c r="E41" s="150"/>
      <c r="F41" s="151"/>
      <c r="G41" s="152"/>
      <c r="H41" s="870">
        <f>H40*8%</f>
        <v>1.2207844603428573</v>
      </c>
      <c r="I41" s="871"/>
      <c r="J41" s="455"/>
      <c r="K41" s="136"/>
      <c r="L41" s="136"/>
    </row>
    <row r="42" spans="1:12" ht="28.5" customHeight="1" x14ac:dyDescent="0.25">
      <c r="A42" s="320" t="s">
        <v>8</v>
      </c>
      <c r="B42" s="321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36"/>
      <c r="L42" s="136"/>
    </row>
    <row r="43" spans="1:12" x14ac:dyDescent="0.25">
      <c r="A43" s="876" t="s">
        <v>9</v>
      </c>
      <c r="B43" s="876"/>
      <c r="C43" s="284" t="s">
        <v>54</v>
      </c>
      <c r="D43" s="286"/>
      <c r="E43" s="877"/>
      <c r="F43" s="877"/>
      <c r="G43" s="877"/>
      <c r="H43" s="868">
        <f>E12/30/12*7*100%</f>
        <v>71.212426853333326</v>
      </c>
      <c r="I43" s="868"/>
      <c r="J43" s="868"/>
      <c r="K43" s="136"/>
      <c r="L43" s="136"/>
    </row>
    <row r="44" spans="1:12" ht="29.25" customHeight="1" x14ac:dyDescent="0.25">
      <c r="A44" s="876" t="s">
        <v>10</v>
      </c>
      <c r="B44" s="876"/>
      <c r="C44" s="478" t="s">
        <v>83</v>
      </c>
      <c r="D44" s="479"/>
      <c r="E44" s="877"/>
      <c r="F44" s="877"/>
      <c r="G44" s="877"/>
      <c r="H44" s="868">
        <f>H43*39.8%</f>
        <v>28.342545887626663</v>
      </c>
      <c r="I44" s="868"/>
      <c r="J44" s="868"/>
      <c r="K44" s="136"/>
      <c r="L44" s="136"/>
    </row>
    <row r="45" spans="1:12" ht="30" customHeight="1" thickBot="1" x14ac:dyDescent="0.3">
      <c r="A45" s="526" t="s">
        <v>11</v>
      </c>
      <c r="B45" s="528"/>
      <c r="C45" s="903" t="s">
        <v>53</v>
      </c>
      <c r="D45" s="904"/>
      <c r="E45" s="897"/>
      <c r="F45" s="898"/>
      <c r="G45" s="899"/>
      <c r="H45" s="900">
        <f>E12*5%</f>
        <v>183.11766905142858</v>
      </c>
      <c r="I45" s="901"/>
      <c r="J45" s="902"/>
      <c r="K45" s="136"/>
      <c r="L45" s="136"/>
    </row>
    <row r="46" spans="1:12" ht="15" customHeight="1" thickBot="1" x14ac:dyDescent="0.3">
      <c r="A46" s="507" t="s">
        <v>333</v>
      </c>
      <c r="B46" s="508"/>
      <c r="C46" s="508"/>
      <c r="D46" s="508"/>
      <c r="E46" s="508"/>
      <c r="F46" s="508"/>
      <c r="G46" s="508"/>
      <c r="H46" s="894">
        <f>SUM(H40:J45)</f>
        <v>299.15323200701715</v>
      </c>
      <c r="I46" s="895"/>
      <c r="J46" s="896"/>
      <c r="K46" s="136"/>
      <c r="L46" s="136"/>
    </row>
    <row r="47" spans="1:12" ht="9.75" customHeight="1" thickBot="1" x14ac:dyDescent="0.3">
      <c r="A47" s="143"/>
      <c r="B47" s="143"/>
      <c r="C47" s="143"/>
      <c r="D47" s="143"/>
      <c r="E47" s="153"/>
      <c r="F47" s="153"/>
      <c r="G47" s="153"/>
      <c r="H47" s="166"/>
      <c r="I47" s="166"/>
      <c r="J47" s="166"/>
      <c r="K47" s="136"/>
      <c r="L47" s="136"/>
    </row>
    <row r="48" spans="1:12" ht="33" customHeight="1" thickBot="1" x14ac:dyDescent="0.3">
      <c r="A48" s="494" t="s">
        <v>359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4" t="s">
        <v>2</v>
      </c>
      <c r="B49" s="455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36"/>
      <c r="L49" s="136"/>
    </row>
    <row r="50" spans="1:12" x14ac:dyDescent="0.25">
      <c r="A50" s="454" t="s">
        <v>7</v>
      </c>
      <c r="B50" s="455"/>
      <c r="C50" s="454" t="s">
        <v>57</v>
      </c>
      <c r="D50" s="455"/>
      <c r="E50" s="150"/>
      <c r="F50" s="151"/>
      <c r="G50" s="152"/>
      <c r="H50" s="870">
        <f>E12/30/12</f>
        <v>10.173203836190476</v>
      </c>
      <c r="I50" s="871"/>
      <c r="J50" s="455"/>
      <c r="K50" s="136"/>
      <c r="L50" s="136"/>
    </row>
    <row r="51" spans="1:12" x14ac:dyDescent="0.25">
      <c r="A51" s="320" t="s">
        <v>8</v>
      </c>
      <c r="B51" s="321"/>
      <c r="C51" s="320" t="s">
        <v>58</v>
      </c>
      <c r="D51" s="321"/>
      <c r="E51" s="873"/>
      <c r="F51" s="874"/>
      <c r="G51" s="875"/>
      <c r="H51" s="868">
        <f>E12/30/12*5*1.5%</f>
        <v>0.76299028771428568</v>
      </c>
      <c r="I51" s="868"/>
      <c r="J51" s="868"/>
      <c r="K51" s="136"/>
      <c r="L51" s="136"/>
    </row>
    <row r="52" spans="1:12" ht="27" customHeight="1" x14ac:dyDescent="0.25">
      <c r="A52" s="876" t="s">
        <v>9</v>
      </c>
      <c r="B52" s="876"/>
      <c r="C52" s="284" t="s">
        <v>59</v>
      </c>
      <c r="D52" s="286"/>
      <c r="E52" s="877"/>
      <c r="F52" s="877"/>
      <c r="G52" s="877"/>
      <c r="H52" s="868">
        <f>E12/30/12*15*8%</f>
        <v>12.207844603428571</v>
      </c>
      <c r="I52" s="868"/>
      <c r="J52" s="868"/>
      <c r="K52" s="136"/>
      <c r="L52" s="136"/>
    </row>
    <row r="53" spans="1:12" x14ac:dyDescent="0.25">
      <c r="A53" s="876" t="s">
        <v>10</v>
      </c>
      <c r="B53" s="876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36"/>
      <c r="L53" s="136"/>
    </row>
    <row r="54" spans="1:12" x14ac:dyDescent="0.25">
      <c r="A54" s="876" t="s">
        <v>11</v>
      </c>
      <c r="B54" s="876"/>
      <c r="C54" s="478" t="s">
        <v>61</v>
      </c>
      <c r="D54" s="479"/>
      <c r="E54" s="877"/>
      <c r="F54" s="877"/>
      <c r="G54" s="877"/>
      <c r="H54" s="868">
        <f>E12/30/12*5*40%</f>
        <v>20.346407672380952</v>
      </c>
      <c r="I54" s="868"/>
      <c r="J54" s="868"/>
      <c r="K54" s="136"/>
      <c r="L54" s="136"/>
    </row>
    <row r="55" spans="1:12" ht="24.75" customHeight="1" x14ac:dyDescent="0.25">
      <c r="A55" s="876" t="s">
        <v>39</v>
      </c>
      <c r="B55" s="876"/>
      <c r="C55" s="478" t="s">
        <v>62</v>
      </c>
      <c r="D55" s="479"/>
      <c r="E55" s="877"/>
      <c r="F55" s="877"/>
      <c r="G55" s="877"/>
      <c r="H55" s="868">
        <f>SUM(H49:J54)*39.8%</f>
        <v>17.310883528752949</v>
      </c>
      <c r="I55" s="868"/>
      <c r="J55" s="868"/>
      <c r="K55" s="136"/>
      <c r="L55" s="136"/>
    </row>
    <row r="56" spans="1:12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60.805565761800565</v>
      </c>
      <c r="I56" s="869"/>
      <c r="J56" s="869"/>
      <c r="K56" s="136"/>
      <c r="L56" s="136"/>
    </row>
    <row r="57" spans="1:12" ht="30" customHeight="1" thickBot="1" x14ac:dyDescent="0.3">
      <c r="A57" s="507" t="s">
        <v>425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0.75" customHeight="1" x14ac:dyDescent="0.25">
      <c r="A58" s="454" t="s">
        <v>2</v>
      </c>
      <c r="B58" s="455"/>
      <c r="C58" s="454" t="s">
        <v>64</v>
      </c>
      <c r="D58" s="455"/>
      <c r="E58" s="150"/>
      <c r="F58" s="151"/>
      <c r="G58" s="152"/>
      <c r="H58" s="870">
        <f>((((E12+(E12/3))*0.3333)/12)*2%)</f>
        <v>2.7125830708818284</v>
      </c>
      <c r="I58" s="871"/>
      <c r="J58" s="455"/>
      <c r="K58" s="136"/>
      <c r="L58" s="136"/>
    </row>
    <row r="59" spans="1:12" ht="43.5" customHeight="1" x14ac:dyDescent="0.25">
      <c r="A59" s="454" t="s">
        <v>7</v>
      </c>
      <c r="B59" s="455"/>
      <c r="C59" s="454" t="s">
        <v>65</v>
      </c>
      <c r="D59" s="455"/>
      <c r="E59" s="150"/>
      <c r="F59" s="151"/>
      <c r="G59" s="152"/>
      <c r="H59" s="870">
        <f>H58*39.8%</f>
        <v>1.0796080622109676</v>
      </c>
      <c r="I59" s="871"/>
      <c r="J59" s="455"/>
      <c r="K59" s="136"/>
      <c r="L59" s="136"/>
    </row>
    <row r="60" spans="1:12" ht="43.5" customHeight="1" x14ac:dyDescent="0.25">
      <c r="A60" s="320" t="s">
        <v>8</v>
      </c>
      <c r="B60" s="321"/>
      <c r="C60" s="454" t="s">
        <v>66</v>
      </c>
      <c r="D60" s="455"/>
      <c r="E60" s="873"/>
      <c r="F60" s="874"/>
      <c r="G60" s="875"/>
      <c r="H60" s="868">
        <f>(((E12+H17)*0.333)*2%)*39.8%</f>
        <v>10.516380507464879</v>
      </c>
      <c r="I60" s="868"/>
      <c r="J60" s="868"/>
      <c r="K60" s="136"/>
      <c r="L60" s="136"/>
    </row>
    <row r="61" spans="1:12" x14ac:dyDescent="0.25">
      <c r="A61" s="876" t="s">
        <v>9</v>
      </c>
      <c r="B61" s="876"/>
      <c r="C61" s="284" t="s">
        <v>67</v>
      </c>
      <c r="D61" s="286"/>
      <c r="E61" s="877"/>
      <c r="F61" s="877"/>
      <c r="G61" s="877"/>
      <c r="H61" s="868"/>
      <c r="I61" s="868"/>
      <c r="J61" s="868"/>
      <c r="K61" s="136"/>
      <c r="L61" s="136"/>
    </row>
    <row r="62" spans="1:12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14.308571640557675</v>
      </c>
      <c r="I62" s="869"/>
      <c r="J62" s="869"/>
      <c r="K62" s="136"/>
      <c r="L62" s="136"/>
    </row>
    <row r="63" spans="1:12" ht="30" customHeight="1" thickBot="1" x14ac:dyDescent="0.3">
      <c r="A63" s="507" t="s">
        <v>426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3" customHeight="1" x14ac:dyDescent="0.25">
      <c r="A64" s="454" t="s">
        <v>2</v>
      </c>
      <c r="B64" s="455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36"/>
      <c r="L64" s="136"/>
    </row>
    <row r="65" spans="1:12" ht="31.5" customHeight="1" x14ac:dyDescent="0.25">
      <c r="A65" s="454" t="s">
        <v>7</v>
      </c>
      <c r="B65" s="455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36"/>
      <c r="L65" s="136"/>
    </row>
    <row r="66" spans="1:12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36"/>
      <c r="L66" s="136"/>
    </row>
    <row r="67" spans="1:12" ht="15.75" thickBot="1" x14ac:dyDescent="0.3">
      <c r="A67" s="882" t="s">
        <v>71</v>
      </c>
      <c r="B67" s="883"/>
      <c r="C67" s="883"/>
      <c r="D67" s="925"/>
      <c r="E67" s="938">
        <f>H66+H62+H56</f>
        <v>75.114262692050247</v>
      </c>
      <c r="F67" s="885"/>
      <c r="G67" s="885"/>
      <c r="H67" s="885"/>
      <c r="I67" s="885"/>
      <c r="J67" s="886"/>
      <c r="K67" s="136"/>
      <c r="L67" s="136"/>
    </row>
    <row r="68" spans="1:12" ht="12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36"/>
      <c r="L68" s="136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4" t="s">
        <v>2</v>
      </c>
      <c r="B70" s="455"/>
      <c r="C70" s="454" t="s">
        <v>74</v>
      </c>
      <c r="D70" s="455"/>
      <c r="E70" s="892"/>
      <c r="F70" s="890"/>
      <c r="G70" s="891"/>
      <c r="H70" s="870">
        <v>300</v>
      </c>
      <c r="I70" s="871"/>
      <c r="J70" s="455"/>
      <c r="K70" s="136"/>
      <c r="L70" s="136"/>
    </row>
    <row r="71" spans="1:12" x14ac:dyDescent="0.25">
      <c r="A71" s="454" t="s">
        <v>7</v>
      </c>
      <c r="B71" s="455"/>
      <c r="C71" s="454" t="s">
        <v>75</v>
      </c>
      <c r="D71" s="455"/>
      <c r="E71" s="150"/>
      <c r="F71" s="151"/>
      <c r="G71" s="152"/>
      <c r="H71" s="870"/>
      <c r="I71" s="871"/>
      <c r="J71" s="455"/>
      <c r="K71" s="136"/>
      <c r="L71" s="136"/>
    </row>
    <row r="72" spans="1:12" x14ac:dyDescent="0.25">
      <c r="A72" s="320" t="s">
        <v>8</v>
      </c>
      <c r="B72" s="321"/>
      <c r="C72" s="320" t="s">
        <v>76</v>
      </c>
      <c r="D72" s="321"/>
      <c r="E72" s="873"/>
      <c r="F72" s="874"/>
      <c r="G72" s="875"/>
      <c r="H72" s="868">
        <v>75</v>
      </c>
      <c r="I72" s="868"/>
      <c r="J72" s="868"/>
      <c r="K72" s="136"/>
      <c r="L72" s="136"/>
    </row>
    <row r="73" spans="1:12" ht="15.75" thickBot="1" x14ac:dyDescent="0.3">
      <c r="A73" s="893" t="s">
        <v>9</v>
      </c>
      <c r="B73" s="893"/>
      <c r="C73" s="526" t="s">
        <v>28</v>
      </c>
      <c r="D73" s="528"/>
      <c r="E73" s="887"/>
      <c r="F73" s="887"/>
      <c r="G73" s="887"/>
      <c r="H73" s="888">
        <v>4.5</v>
      </c>
      <c r="I73" s="888"/>
      <c r="J73" s="888"/>
      <c r="K73" s="136"/>
      <c r="L73" s="136"/>
    </row>
    <row r="74" spans="1:12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8"/>
      <c r="H74" s="894">
        <f>SUM(H70:J73)</f>
        <v>379.5</v>
      </c>
      <c r="I74" s="895"/>
      <c r="J74" s="896"/>
      <c r="K74" s="136"/>
      <c r="L74" s="136"/>
    </row>
    <row r="75" spans="1:12" ht="9" customHeight="1" thickBot="1" x14ac:dyDescent="0.3">
      <c r="A75" s="143"/>
      <c r="B75" s="143"/>
      <c r="C75" s="143"/>
      <c r="D75" s="143"/>
      <c r="E75" s="153"/>
      <c r="F75" s="153"/>
      <c r="G75" s="153"/>
      <c r="H75" s="166"/>
      <c r="I75" s="166"/>
      <c r="J75" s="166"/>
      <c r="K75" s="136"/>
      <c r="L75" s="136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4" t="s">
        <v>2</v>
      </c>
      <c r="B77" s="455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509.8842162766893</v>
      </c>
      <c r="I77" s="871"/>
      <c r="J77" s="455"/>
      <c r="K77" s="136"/>
      <c r="L77" s="136"/>
    </row>
    <row r="78" spans="1:12" x14ac:dyDescent="0.25">
      <c r="A78" s="454" t="s">
        <v>7</v>
      </c>
      <c r="B78" s="455"/>
      <c r="C78" s="454" t="s">
        <v>12</v>
      </c>
      <c r="D78" s="455"/>
      <c r="E78" s="889">
        <v>7.5774402686973108E-2</v>
      </c>
      <c r="F78" s="890"/>
      <c r="G78" s="891"/>
      <c r="H78" s="870">
        <f>E78*(H74+E67+H46+E37+E12)</f>
        <v>551.94531325545063</v>
      </c>
      <c r="I78" s="871"/>
      <c r="J78" s="455"/>
      <c r="K78" s="136"/>
      <c r="L78" s="136"/>
    </row>
    <row r="79" spans="1:12" x14ac:dyDescent="0.25">
      <c r="A79" s="320" t="s">
        <v>8</v>
      </c>
      <c r="B79" s="321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8494.530883410067</v>
      </c>
      <c r="I79" s="868"/>
      <c r="J79" s="868"/>
      <c r="K79" s="136"/>
      <c r="L79" s="136"/>
    </row>
    <row r="80" spans="1:12" x14ac:dyDescent="0.25">
      <c r="A80" s="876" t="s">
        <v>9</v>
      </c>
      <c r="B80" s="876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96.473190000000002</v>
      </c>
      <c r="I80" s="868"/>
      <c r="J80" s="868"/>
      <c r="K80" s="136"/>
      <c r="L80" s="136"/>
    </row>
    <row r="81" spans="1:12" x14ac:dyDescent="0.25">
      <c r="A81" s="876" t="s">
        <v>9</v>
      </c>
      <c r="B81" s="876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444.36135999999999</v>
      </c>
      <c r="I81" s="868"/>
      <c r="J81" s="868"/>
      <c r="K81" s="136"/>
      <c r="L81" s="136"/>
    </row>
    <row r="82" spans="1:12" x14ac:dyDescent="0.25">
      <c r="A82" s="876" t="s">
        <v>10</v>
      </c>
      <c r="B82" s="876"/>
      <c r="C82" s="284" t="s">
        <v>81</v>
      </c>
      <c r="D82" s="286"/>
      <c r="E82" s="877"/>
      <c r="F82" s="877"/>
      <c r="G82" s="877"/>
      <c r="H82" s="868"/>
      <c r="I82" s="868"/>
      <c r="J82" s="868"/>
      <c r="K82" s="136"/>
      <c r="L82" s="136"/>
    </row>
    <row r="83" spans="1:12" ht="15.75" thickBot="1" x14ac:dyDescent="0.3">
      <c r="A83" s="893" t="s">
        <v>11</v>
      </c>
      <c r="B83" s="893"/>
      <c r="C83" s="526" t="s">
        <v>82</v>
      </c>
      <c r="D83" s="528"/>
      <c r="E83" s="887">
        <v>0.05</v>
      </c>
      <c r="F83" s="887"/>
      <c r="G83" s="887"/>
      <c r="H83" s="888">
        <f>E83*D88</f>
        <v>292.34300000000002</v>
      </c>
      <c r="I83" s="888"/>
      <c r="J83" s="888"/>
      <c r="K83" s="136"/>
      <c r="L83" s="136"/>
    </row>
    <row r="84" spans="1:12" ht="14.25" customHeight="1" thickBot="1" x14ac:dyDescent="0.3">
      <c r="A84" s="507" t="s">
        <v>321</v>
      </c>
      <c r="B84" s="508"/>
      <c r="C84" s="508"/>
      <c r="D84" s="508"/>
      <c r="E84" s="508"/>
      <c r="F84" s="508"/>
      <c r="G84" s="508"/>
      <c r="H84" s="894">
        <f>H77+H78+H80+H81+H83</f>
        <v>1895.0070795321401</v>
      </c>
      <c r="I84" s="895"/>
      <c r="J84" s="896"/>
      <c r="K84" s="136"/>
      <c r="L84" s="136"/>
    </row>
    <row r="85" spans="1:12" ht="12" customHeight="1" thickBot="1" x14ac:dyDescent="0.3">
      <c r="A85" s="143"/>
      <c r="B85" s="143"/>
      <c r="C85" s="143"/>
      <c r="D85" s="143"/>
      <c r="E85" s="153"/>
      <c r="F85" s="153"/>
      <c r="G85" s="153"/>
      <c r="H85" s="166"/>
      <c r="I85" s="166"/>
      <c r="J85" s="166"/>
      <c r="K85" s="136"/>
      <c r="L85" s="136"/>
    </row>
    <row r="86" spans="1:12" ht="15.75" thickBot="1" x14ac:dyDescent="0.3">
      <c r="A86" s="939" t="s">
        <v>85</v>
      </c>
      <c r="B86" s="940"/>
      <c r="C86" s="940"/>
      <c r="D86" s="940"/>
      <c r="E86" s="940"/>
      <c r="F86" s="940"/>
      <c r="G86" s="940"/>
      <c r="H86" s="941">
        <f>SUM(H84+H74+E67+H46+E37+E12)</f>
        <v>9179.0673120562733</v>
      </c>
      <c r="I86" s="942"/>
      <c r="J86" s="943"/>
      <c r="K86" s="136"/>
      <c r="L86" s="136"/>
    </row>
    <row r="87" spans="1:12" x14ac:dyDescent="0.25">
      <c r="A87" s="136"/>
      <c r="B87" s="136"/>
      <c r="C87" s="136"/>
      <c r="D87" s="136"/>
      <c r="E87" s="164"/>
      <c r="F87" s="164"/>
      <c r="G87" s="164"/>
      <c r="H87" s="136"/>
      <c r="I87" s="136"/>
      <c r="J87" s="136"/>
      <c r="K87" s="136"/>
      <c r="L87" s="136"/>
    </row>
    <row r="88" spans="1:12" x14ac:dyDescent="0.25">
      <c r="A88" s="136"/>
      <c r="B88" s="136"/>
      <c r="C88" s="136"/>
      <c r="D88" s="165">
        <v>5846.86</v>
      </c>
      <c r="E88" s="164"/>
      <c r="F88" s="164"/>
      <c r="G88" s="164"/>
      <c r="H88" s="136"/>
      <c r="I88" s="136"/>
      <c r="J88" s="136"/>
      <c r="K88" s="136"/>
      <c r="L88" s="136"/>
    </row>
    <row r="89" spans="1:12" x14ac:dyDescent="0.25">
      <c r="A89" s="136"/>
      <c r="B89" s="136"/>
      <c r="C89" s="136"/>
      <c r="D89" s="136"/>
      <c r="E89" s="164"/>
      <c r="F89" s="164"/>
      <c r="G89" s="164"/>
      <c r="H89" s="136"/>
      <c r="I89" s="136"/>
      <c r="J89" s="136"/>
      <c r="K89" s="136"/>
      <c r="L89" s="136"/>
    </row>
    <row r="90" spans="1:12" x14ac:dyDescent="0.25">
      <c r="A90" s="136"/>
      <c r="B90" s="136"/>
      <c r="C90" s="136"/>
      <c r="D90" s="136"/>
      <c r="E90" s="164"/>
      <c r="F90" s="164"/>
      <c r="G90" s="164"/>
      <c r="H90" s="136"/>
      <c r="I90" s="136"/>
      <c r="J90" s="136"/>
      <c r="K90" s="136"/>
      <c r="L90" s="136"/>
    </row>
    <row r="91" spans="1:12" x14ac:dyDescent="0.25">
      <c r="A91" s="136"/>
      <c r="B91" s="136"/>
      <c r="C91" s="136"/>
      <c r="D91" s="136"/>
      <c r="E91" s="164"/>
      <c r="F91" s="164"/>
      <c r="G91" s="164"/>
      <c r="H91" s="136"/>
      <c r="I91" s="136"/>
      <c r="J91" s="136"/>
      <c r="K91" s="136"/>
      <c r="L91" s="136"/>
    </row>
    <row r="92" spans="1:12" ht="15.75" thickBot="1" x14ac:dyDescent="0.3">
      <c r="A92" s="136"/>
      <c r="B92" s="136"/>
      <c r="C92" s="136"/>
      <c r="D92" s="136"/>
      <c r="E92" s="164"/>
      <c r="F92" s="164"/>
      <c r="G92" s="164"/>
      <c r="H92" s="136"/>
      <c r="I92" s="136"/>
      <c r="J92" s="136"/>
      <c r="K92" s="136"/>
      <c r="L92" s="136"/>
    </row>
  </sheetData>
  <mergeCells count="230">
    <mergeCell ref="A1:J1"/>
    <mergeCell ref="A2:C2"/>
    <mergeCell ref="D2:J2"/>
    <mergeCell ref="A3:J3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</mergeCells>
  <pageMargins left="1.02362204724409" right="0.62992125984252001" top="1.37795275590551" bottom="1.37795275590551" header="0.511811023622047" footer="0.511811023622047"/>
  <pageSetup paperSize="9" fitToHeight="0" orientation="portrait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L92"/>
  <sheetViews>
    <sheetView topLeftCell="A67" workbookViewId="0">
      <selection activeCell="N48" sqref="N48"/>
    </sheetView>
  </sheetViews>
  <sheetFormatPr defaultRowHeight="15" x14ac:dyDescent="0.25"/>
  <cols>
    <col min="1" max="1" width="6.7109375" style="146" customWidth="1"/>
    <col min="2" max="2" width="3.42578125" style="146" customWidth="1"/>
    <col min="3" max="3" width="10.42578125" style="134" customWidth="1"/>
    <col min="4" max="4" width="40.7109375" style="134" customWidth="1"/>
    <col min="5" max="7" width="3" style="116" customWidth="1"/>
    <col min="8" max="8" width="3.85546875" style="134" customWidth="1"/>
    <col min="9" max="9" width="5.7109375" style="134" hidden="1" customWidth="1"/>
    <col min="10" max="10" width="9.8554687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111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45"/>
      <c r="L5" s="145"/>
    </row>
    <row r="6" spans="1:12" x14ac:dyDescent="0.25">
      <c r="A6" s="123" t="s">
        <v>2</v>
      </c>
      <c r="B6" s="606" t="s">
        <v>1</v>
      </c>
      <c r="C6" s="607"/>
      <c r="D6" s="608"/>
      <c r="E6" s="567">
        <v>1398.79</v>
      </c>
      <c r="F6" s="568"/>
      <c r="G6" s="568"/>
      <c r="H6" s="568"/>
      <c r="I6" s="568"/>
      <c r="J6" s="568"/>
      <c r="K6" s="145"/>
      <c r="L6" s="145"/>
    </row>
    <row r="7" spans="1:12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45"/>
      <c r="L7" s="145"/>
    </row>
    <row r="8" spans="1:12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45"/>
      <c r="L8" s="145"/>
    </row>
    <row r="9" spans="1:12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45"/>
      <c r="L9" s="145"/>
    </row>
    <row r="10" spans="1:12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45"/>
      <c r="L10" s="145"/>
    </row>
    <row r="11" spans="1:12" ht="27" customHeight="1" thickBot="1" x14ac:dyDescent="0.3">
      <c r="A11" s="119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45"/>
      <c r="L11" s="145"/>
    </row>
    <row r="12" spans="1:12" ht="15.75" thickBot="1" x14ac:dyDescent="0.3">
      <c r="A12" s="458" t="s">
        <v>330</v>
      </c>
      <c r="B12" s="459"/>
      <c r="C12" s="459"/>
      <c r="D12" s="725"/>
      <c r="E12" s="547">
        <f>SUM(E6:J11)</f>
        <v>1398.79</v>
      </c>
      <c r="F12" s="485"/>
      <c r="G12" s="485"/>
      <c r="H12" s="485"/>
      <c r="I12" s="485"/>
      <c r="J12" s="486"/>
      <c r="K12" s="145"/>
      <c r="L12" s="145"/>
    </row>
    <row r="13" spans="1:12" ht="27.75" customHeight="1" x14ac:dyDescent="0.25">
      <c r="A13" s="551" t="s">
        <v>29</v>
      </c>
      <c r="B13" s="715"/>
      <c r="C13" s="715"/>
      <c r="D13" s="716"/>
      <c r="E13" s="548">
        <f>E12*E30</f>
        <v>514.75472000000002</v>
      </c>
      <c r="F13" s="549"/>
      <c r="G13" s="549"/>
      <c r="H13" s="549"/>
      <c r="I13" s="549"/>
      <c r="J13" s="550"/>
      <c r="K13" s="145"/>
      <c r="L13" s="145"/>
    </row>
    <row r="14" spans="1:12" ht="9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45"/>
      <c r="L14" s="145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378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3" t="s">
        <v>2</v>
      </c>
      <c r="B17" s="482" t="s">
        <v>34</v>
      </c>
      <c r="C17" s="521"/>
      <c r="D17" s="483"/>
      <c r="E17" s="322">
        <v>8.3299999999999999E-2</v>
      </c>
      <c r="F17" s="323"/>
      <c r="G17" s="324"/>
      <c r="H17" s="450">
        <f>E17*E12</f>
        <v>116.51920699999999</v>
      </c>
      <c r="I17" s="450"/>
      <c r="J17" s="450"/>
      <c r="K17" s="145"/>
      <c r="L17" s="145"/>
    </row>
    <row r="18" spans="1:12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169.25359</v>
      </c>
      <c r="I18" s="450"/>
      <c r="J18" s="450"/>
      <c r="K18" s="145"/>
      <c r="L18" s="145"/>
    </row>
    <row r="19" spans="1:12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285.77279699999997</v>
      </c>
      <c r="I19" s="525"/>
      <c r="J19" s="525"/>
      <c r="K19" s="145"/>
      <c r="L19" s="145"/>
    </row>
    <row r="20" spans="1:12" ht="30.75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109.385378</v>
      </c>
      <c r="I20" s="291"/>
      <c r="J20" s="292"/>
      <c r="K20" s="145"/>
      <c r="L20" s="145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532" t="s">
        <v>2</v>
      </c>
      <c r="B22" s="533"/>
      <c r="C22" s="510" t="s">
        <v>3</v>
      </c>
      <c r="D22" s="511"/>
      <c r="E22" s="603">
        <v>0.2</v>
      </c>
      <c r="F22" s="603"/>
      <c r="G22" s="603"/>
      <c r="H22" s="450">
        <f>E22*(E12+H19)</f>
        <v>336.91255940000002</v>
      </c>
      <c r="I22" s="450"/>
      <c r="J22" s="450"/>
      <c r="K22" s="145"/>
      <c r="L22" s="145"/>
    </row>
    <row r="23" spans="1:12" x14ac:dyDescent="0.25">
      <c r="A23" s="532" t="s">
        <v>7</v>
      </c>
      <c r="B23" s="53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42.114069925000003</v>
      </c>
      <c r="I23" s="450"/>
      <c r="J23" s="450"/>
      <c r="K23" s="145"/>
      <c r="L23" s="145"/>
    </row>
    <row r="24" spans="1:12" x14ac:dyDescent="0.25">
      <c r="A24" s="532" t="s">
        <v>8</v>
      </c>
      <c r="B24" s="533"/>
      <c r="C24" s="512" t="s">
        <v>42</v>
      </c>
      <c r="D24" s="513"/>
      <c r="E24" s="514">
        <v>0.03</v>
      </c>
      <c r="F24" s="514"/>
      <c r="G24" s="514"/>
      <c r="H24" s="450">
        <f>E24*(E12+H19)</f>
        <v>50.53688391</v>
      </c>
      <c r="I24" s="450"/>
      <c r="J24" s="450"/>
      <c r="K24" s="145"/>
      <c r="L24" s="145"/>
    </row>
    <row r="25" spans="1:12" x14ac:dyDescent="0.25">
      <c r="A25" s="532" t="s">
        <v>9</v>
      </c>
      <c r="B25" s="53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25.268441955</v>
      </c>
      <c r="I25" s="450"/>
      <c r="J25" s="450"/>
      <c r="K25" s="145"/>
      <c r="L25" s="145"/>
    </row>
    <row r="26" spans="1:12" x14ac:dyDescent="0.25">
      <c r="A26" s="532" t="s">
        <v>10</v>
      </c>
      <c r="B26" s="533"/>
      <c r="C26" s="482" t="s">
        <v>44</v>
      </c>
      <c r="D26" s="483"/>
      <c r="E26" s="497">
        <v>0.01</v>
      </c>
      <c r="F26" s="497"/>
      <c r="G26" s="497"/>
      <c r="H26" s="450">
        <f>E26*(E12+H19)</f>
        <v>16.845627970000002</v>
      </c>
      <c r="I26" s="450"/>
      <c r="J26" s="450"/>
      <c r="K26" s="145"/>
      <c r="L26" s="145"/>
    </row>
    <row r="27" spans="1:12" x14ac:dyDescent="0.25">
      <c r="A27" s="532" t="s">
        <v>11</v>
      </c>
      <c r="B27" s="53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10.107376782000001</v>
      </c>
      <c r="I27" s="450"/>
      <c r="J27" s="450"/>
      <c r="K27" s="145"/>
      <c r="L27" s="145"/>
    </row>
    <row r="28" spans="1:12" x14ac:dyDescent="0.25">
      <c r="A28" s="532" t="s">
        <v>39</v>
      </c>
      <c r="B28" s="533"/>
      <c r="C28" s="482" t="s">
        <v>5</v>
      </c>
      <c r="D28" s="483"/>
      <c r="E28" s="497">
        <v>2E-3</v>
      </c>
      <c r="F28" s="497"/>
      <c r="G28" s="497"/>
      <c r="H28" s="450">
        <f>E28*(E12+H19)</f>
        <v>3.3691255940000002</v>
      </c>
      <c r="I28" s="450"/>
      <c r="J28" s="450"/>
      <c r="K28" s="145"/>
      <c r="L28" s="145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134.76502376000002</v>
      </c>
      <c r="I29" s="450"/>
      <c r="J29" s="450"/>
      <c r="K29" s="145"/>
      <c r="L29" s="145"/>
    </row>
    <row r="30" spans="1:12" ht="15.75" thickBot="1" x14ac:dyDescent="0.3">
      <c r="A30" s="960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619.91910929600022</v>
      </c>
      <c r="I30" s="592"/>
      <c r="J30" s="752"/>
      <c r="K30" s="145"/>
      <c r="L30" s="145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532" t="s">
        <v>2</v>
      </c>
      <c r="B32" s="533"/>
      <c r="C32" s="510" t="s">
        <v>46</v>
      </c>
      <c r="D32" s="511"/>
      <c r="E32" s="603"/>
      <c r="F32" s="603"/>
      <c r="G32" s="603"/>
      <c r="H32" s="450">
        <f>(3.9*2*25.5)-6%*E6</f>
        <v>114.97260000000001</v>
      </c>
      <c r="I32" s="450"/>
      <c r="J32" s="450"/>
      <c r="K32" s="145"/>
      <c r="L32" s="145"/>
    </row>
    <row r="33" spans="1:12" x14ac:dyDescent="0.25">
      <c r="A33" s="532" t="s">
        <v>7</v>
      </c>
      <c r="B33" s="533"/>
      <c r="C33" s="482" t="s">
        <v>47</v>
      </c>
      <c r="D33" s="483"/>
      <c r="E33" s="497"/>
      <c r="F33" s="497"/>
      <c r="G33" s="497"/>
      <c r="H33" s="450">
        <f>21.63*25.5-20%</f>
        <v>551.3649999999999</v>
      </c>
      <c r="I33" s="450"/>
      <c r="J33" s="450"/>
      <c r="K33" s="145"/>
      <c r="L33" s="145"/>
    </row>
    <row r="34" spans="1:12" x14ac:dyDescent="0.25">
      <c r="A34" s="532" t="s">
        <v>8</v>
      </c>
      <c r="B34" s="53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45"/>
      <c r="L34" s="145"/>
    </row>
    <row r="35" spans="1:12" x14ac:dyDescent="0.25">
      <c r="A35" s="532" t="s">
        <v>9</v>
      </c>
      <c r="B35" s="533"/>
      <c r="C35" s="478" t="s">
        <v>28</v>
      </c>
      <c r="D35" s="479"/>
      <c r="E35" s="497"/>
      <c r="F35" s="497"/>
      <c r="G35" s="497"/>
      <c r="H35" s="450">
        <v>25.95</v>
      </c>
      <c r="I35" s="450"/>
      <c r="J35" s="450"/>
      <c r="K35" s="145"/>
      <c r="L35" s="145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728.85760000000005</v>
      </c>
      <c r="I36" s="451"/>
      <c r="J36" s="451"/>
      <c r="K36" s="145"/>
      <c r="L36" s="145"/>
    </row>
    <row r="37" spans="1:12" ht="15.75" thickBot="1" x14ac:dyDescent="0.3">
      <c r="A37" s="458" t="s">
        <v>72</v>
      </c>
      <c r="B37" s="459"/>
      <c r="C37" s="459"/>
      <c r="D37" s="725"/>
      <c r="E37" s="587">
        <f>H19+H30+H36</f>
        <v>1634.5495062960003</v>
      </c>
      <c r="F37" s="498"/>
      <c r="G37" s="498"/>
      <c r="H37" s="498"/>
      <c r="I37" s="498"/>
      <c r="J37" s="499"/>
      <c r="K37" s="145"/>
      <c r="L37" s="145"/>
    </row>
    <row r="38" spans="1:12" ht="10.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45"/>
      <c r="L38" s="145"/>
    </row>
    <row r="39" spans="1:12" ht="27" customHeight="1" thickBot="1" x14ac:dyDescent="0.3">
      <c r="A39" s="494" t="s">
        <v>131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954" t="s">
        <v>2</v>
      </c>
      <c r="B40" s="955"/>
      <c r="C40" s="452" t="s">
        <v>51</v>
      </c>
      <c r="D40" s="453"/>
      <c r="E40" s="128"/>
      <c r="F40" s="129"/>
      <c r="G40" s="130"/>
      <c r="H40" s="456">
        <f>E12/12*5%</f>
        <v>5.8282916666666669</v>
      </c>
      <c r="I40" s="457"/>
      <c r="J40" s="453"/>
      <c r="K40" s="145"/>
      <c r="L40" s="145"/>
    </row>
    <row r="41" spans="1:12" x14ac:dyDescent="0.25">
      <c r="A41" s="954" t="s">
        <v>7</v>
      </c>
      <c r="B41" s="955"/>
      <c r="C41" s="452" t="s">
        <v>52</v>
      </c>
      <c r="D41" s="453"/>
      <c r="E41" s="128"/>
      <c r="F41" s="129"/>
      <c r="G41" s="130"/>
      <c r="H41" s="456">
        <f>H40*8%</f>
        <v>0.46626333333333336</v>
      </c>
      <c r="I41" s="457"/>
      <c r="J41" s="453"/>
      <c r="K41" s="145"/>
      <c r="L41" s="145"/>
    </row>
    <row r="42" spans="1:12" ht="33" customHeight="1" x14ac:dyDescent="0.25">
      <c r="A42" s="954" t="s">
        <v>8</v>
      </c>
      <c r="B42" s="955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45"/>
      <c r="L42" s="145"/>
    </row>
    <row r="43" spans="1:12" x14ac:dyDescent="0.25">
      <c r="A43" s="956" t="s">
        <v>9</v>
      </c>
      <c r="B43" s="956"/>
      <c r="C43" s="482" t="s">
        <v>54</v>
      </c>
      <c r="D43" s="483"/>
      <c r="E43" s="497"/>
      <c r="F43" s="497"/>
      <c r="G43" s="497"/>
      <c r="H43" s="450">
        <f>E12/30/12*7*100%</f>
        <v>27.198694444444445</v>
      </c>
      <c r="I43" s="450"/>
      <c r="J43" s="450"/>
      <c r="K43" s="145"/>
      <c r="L43" s="145"/>
    </row>
    <row r="44" spans="1:12" ht="30" customHeight="1" x14ac:dyDescent="0.25">
      <c r="A44" s="956" t="s">
        <v>10</v>
      </c>
      <c r="B44" s="956"/>
      <c r="C44" s="478" t="s">
        <v>83</v>
      </c>
      <c r="D44" s="479"/>
      <c r="E44" s="497"/>
      <c r="F44" s="497"/>
      <c r="G44" s="497"/>
      <c r="H44" s="450">
        <f>H43*39.8%</f>
        <v>10.825080388888889</v>
      </c>
      <c r="I44" s="450"/>
      <c r="J44" s="450"/>
      <c r="K44" s="145"/>
      <c r="L44" s="145"/>
    </row>
    <row r="45" spans="1:12" ht="31.5" customHeight="1" thickBot="1" x14ac:dyDescent="0.3">
      <c r="A45" s="958" t="s">
        <v>11</v>
      </c>
      <c r="B45" s="959"/>
      <c r="C45" s="834" t="s">
        <v>53</v>
      </c>
      <c r="D45" s="835"/>
      <c r="E45" s="836"/>
      <c r="F45" s="837"/>
      <c r="G45" s="838"/>
      <c r="H45" s="470">
        <f>E12*5%</f>
        <v>69.939499999999995</v>
      </c>
      <c r="I45" s="471"/>
      <c r="J45" s="472"/>
      <c r="K45" s="145"/>
      <c r="L45" s="145"/>
    </row>
    <row r="46" spans="1:12" ht="15.75" thickBot="1" x14ac:dyDescent="0.3">
      <c r="A46" s="570" t="s">
        <v>333</v>
      </c>
      <c r="B46" s="571"/>
      <c r="C46" s="571"/>
      <c r="D46" s="571"/>
      <c r="E46" s="571"/>
      <c r="F46" s="571"/>
      <c r="G46" s="571"/>
      <c r="H46" s="547">
        <f>SUM(H40:J45)</f>
        <v>114.25782983333333</v>
      </c>
      <c r="I46" s="485"/>
      <c r="J46" s="486"/>
      <c r="K46" s="145"/>
      <c r="L46" s="145"/>
    </row>
    <row r="47" spans="1:12" ht="9" customHeight="1" thickBot="1" x14ac:dyDescent="0.3">
      <c r="E47" s="131"/>
      <c r="F47" s="131"/>
      <c r="G47" s="131"/>
      <c r="H47" s="161"/>
      <c r="I47" s="161"/>
      <c r="J47" s="161"/>
      <c r="K47" s="145"/>
      <c r="L47" s="145"/>
    </row>
    <row r="48" spans="1:12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954" t="s">
        <v>2</v>
      </c>
      <c r="B49" s="955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45"/>
      <c r="L49" s="145"/>
    </row>
    <row r="50" spans="1:12" x14ac:dyDescent="0.25">
      <c r="A50" s="954" t="s">
        <v>7</v>
      </c>
      <c r="B50" s="955"/>
      <c r="C50" s="452" t="s">
        <v>57</v>
      </c>
      <c r="D50" s="453"/>
      <c r="E50" s="128"/>
      <c r="F50" s="129"/>
      <c r="G50" s="130"/>
      <c r="H50" s="456">
        <f>E12/30/12</f>
        <v>3.8855277777777779</v>
      </c>
      <c r="I50" s="457"/>
      <c r="J50" s="453"/>
      <c r="K50" s="145"/>
      <c r="L50" s="145"/>
    </row>
    <row r="51" spans="1:12" x14ac:dyDescent="0.25">
      <c r="A51" s="954" t="s">
        <v>8</v>
      </c>
      <c r="B51" s="955"/>
      <c r="C51" s="320" t="s">
        <v>58</v>
      </c>
      <c r="D51" s="321"/>
      <c r="E51" s="322"/>
      <c r="F51" s="323"/>
      <c r="G51" s="324"/>
      <c r="H51" s="450">
        <f>E12/30/12*5*1.5%</f>
        <v>0.29141458333333331</v>
      </c>
      <c r="I51" s="450"/>
      <c r="J51" s="450"/>
      <c r="K51" s="145"/>
      <c r="L51" s="145"/>
    </row>
    <row r="52" spans="1:12" x14ac:dyDescent="0.25">
      <c r="A52" s="956" t="s">
        <v>9</v>
      </c>
      <c r="B52" s="956"/>
      <c r="C52" s="284" t="s">
        <v>59</v>
      </c>
      <c r="D52" s="286"/>
      <c r="E52" s="497"/>
      <c r="F52" s="497"/>
      <c r="G52" s="497"/>
      <c r="H52" s="450">
        <f>E12/30/12*15*8%</f>
        <v>4.662633333333333</v>
      </c>
      <c r="I52" s="450"/>
      <c r="J52" s="450"/>
      <c r="K52" s="145"/>
      <c r="L52" s="145"/>
    </row>
    <row r="53" spans="1:12" x14ac:dyDescent="0.25">
      <c r="A53" s="956" t="s">
        <v>10</v>
      </c>
      <c r="B53" s="956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45"/>
      <c r="L53" s="145"/>
    </row>
    <row r="54" spans="1:12" x14ac:dyDescent="0.25">
      <c r="A54" s="956" t="s">
        <v>11</v>
      </c>
      <c r="B54" s="956"/>
      <c r="C54" s="478" t="s">
        <v>61</v>
      </c>
      <c r="D54" s="479"/>
      <c r="E54" s="497"/>
      <c r="F54" s="497"/>
      <c r="G54" s="497"/>
      <c r="H54" s="450">
        <f>E12/30/12*5*40%</f>
        <v>7.7710555555555558</v>
      </c>
      <c r="I54" s="450"/>
      <c r="J54" s="450"/>
      <c r="K54" s="145"/>
      <c r="L54" s="145"/>
    </row>
    <row r="55" spans="1:12" ht="31.5" customHeight="1" x14ac:dyDescent="0.25">
      <c r="A55" s="956" t="s">
        <v>39</v>
      </c>
      <c r="B55" s="956"/>
      <c r="C55" s="478" t="s">
        <v>62</v>
      </c>
      <c r="D55" s="479"/>
      <c r="E55" s="497"/>
      <c r="F55" s="497"/>
      <c r="G55" s="497"/>
      <c r="H55" s="450">
        <f>SUM(H49:J54)*39.8%</f>
        <v>6.6127170991666651</v>
      </c>
      <c r="I55" s="450"/>
      <c r="J55" s="450"/>
      <c r="K55" s="145"/>
      <c r="L55" s="145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23.227584182499996</v>
      </c>
      <c r="I56" s="592"/>
      <c r="J56" s="592"/>
      <c r="K56" s="145"/>
      <c r="L56" s="145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1.5" customHeight="1" x14ac:dyDescent="0.25">
      <c r="A58" s="954" t="s">
        <v>2</v>
      </c>
      <c r="B58" s="955"/>
      <c r="C58" s="454" t="s">
        <v>64</v>
      </c>
      <c r="D58" s="455"/>
      <c r="E58" s="128"/>
      <c r="F58" s="129"/>
      <c r="G58" s="130"/>
      <c r="H58" s="456">
        <f>((((E12+(E12/3))*0.3333)/12)*2%)</f>
        <v>1.0360371266666666</v>
      </c>
      <c r="I58" s="457"/>
      <c r="J58" s="453"/>
      <c r="K58" s="145"/>
      <c r="L58" s="145"/>
    </row>
    <row r="59" spans="1:12" ht="47.25" customHeight="1" x14ac:dyDescent="0.25">
      <c r="A59" s="954" t="s">
        <v>7</v>
      </c>
      <c r="B59" s="955"/>
      <c r="C59" s="454" t="s">
        <v>65</v>
      </c>
      <c r="D59" s="455"/>
      <c r="E59" s="128"/>
      <c r="F59" s="129"/>
      <c r="G59" s="130"/>
      <c r="H59" s="456">
        <f>H58*39.8%</f>
        <v>0.41234277641333328</v>
      </c>
      <c r="I59" s="457"/>
      <c r="J59" s="453"/>
      <c r="K59" s="145"/>
      <c r="L59" s="145"/>
    </row>
    <row r="60" spans="1:12" ht="49.5" customHeight="1" x14ac:dyDescent="0.25">
      <c r="A60" s="954" t="s">
        <v>8</v>
      </c>
      <c r="B60" s="955"/>
      <c r="C60" s="454" t="s">
        <v>66</v>
      </c>
      <c r="D60" s="455"/>
      <c r="E60" s="322"/>
      <c r="F60" s="323"/>
      <c r="G60" s="324"/>
      <c r="H60" s="450">
        <f>(((E12+H17)*0.333)*2%)*39.8%</f>
        <v>4.01659980881076</v>
      </c>
      <c r="I60" s="450"/>
      <c r="J60" s="450"/>
      <c r="K60" s="145"/>
      <c r="L60" s="145"/>
    </row>
    <row r="61" spans="1:12" x14ac:dyDescent="0.25">
      <c r="A61" s="956" t="s">
        <v>9</v>
      </c>
      <c r="B61" s="956"/>
      <c r="C61" s="482" t="s">
        <v>67</v>
      </c>
      <c r="D61" s="483"/>
      <c r="E61" s="497"/>
      <c r="F61" s="497"/>
      <c r="G61" s="497"/>
      <c r="H61" s="450"/>
      <c r="I61" s="450"/>
      <c r="J61" s="450"/>
      <c r="K61" s="145"/>
      <c r="L61" s="145"/>
    </row>
    <row r="62" spans="1:12" ht="14.25" customHeight="1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5.4649797118907593</v>
      </c>
      <c r="I62" s="592"/>
      <c r="J62" s="592"/>
      <c r="K62" s="145"/>
      <c r="L62" s="145"/>
    </row>
    <row r="63" spans="1:12" ht="15.75" thickBot="1" x14ac:dyDescent="0.3">
      <c r="A63" s="507" t="s">
        <v>132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0" customHeight="1" x14ac:dyDescent="0.25">
      <c r="A64" s="954" t="s">
        <v>2</v>
      </c>
      <c r="B64" s="955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45"/>
      <c r="L64" s="145"/>
    </row>
    <row r="65" spans="1:12" ht="31.5" customHeight="1" x14ac:dyDescent="0.25">
      <c r="A65" s="954" t="s">
        <v>7</v>
      </c>
      <c r="B65" s="955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45"/>
      <c r="L65" s="145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45"/>
      <c r="L66" s="145"/>
    </row>
    <row r="67" spans="1:12" ht="15.75" thickBot="1" x14ac:dyDescent="0.3">
      <c r="A67" s="458" t="s">
        <v>71</v>
      </c>
      <c r="B67" s="459"/>
      <c r="C67" s="459"/>
      <c r="D67" s="725"/>
      <c r="E67" s="587">
        <f>H66+H62+H56</f>
        <v>28.692689184082756</v>
      </c>
      <c r="F67" s="498"/>
      <c r="G67" s="498"/>
      <c r="H67" s="498"/>
      <c r="I67" s="498"/>
      <c r="J67" s="499"/>
      <c r="K67" s="145"/>
      <c r="L67" s="145"/>
    </row>
    <row r="68" spans="1:12" ht="10.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45"/>
      <c r="L68" s="145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954" t="s">
        <v>2</v>
      </c>
      <c r="B70" s="955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45"/>
      <c r="L70" s="145"/>
    </row>
    <row r="71" spans="1:12" x14ac:dyDescent="0.25">
      <c r="A71" s="954" t="s">
        <v>7</v>
      </c>
      <c r="B71" s="955"/>
      <c r="C71" s="452" t="s">
        <v>75</v>
      </c>
      <c r="D71" s="453"/>
      <c r="E71" s="128"/>
      <c r="F71" s="129"/>
      <c r="G71" s="130"/>
      <c r="H71" s="456"/>
      <c r="I71" s="457"/>
      <c r="J71" s="453"/>
      <c r="K71" s="145"/>
      <c r="L71" s="145"/>
    </row>
    <row r="72" spans="1:12" x14ac:dyDescent="0.25">
      <c r="A72" s="954" t="s">
        <v>8</v>
      </c>
      <c r="B72" s="955"/>
      <c r="C72" s="320" t="s">
        <v>76</v>
      </c>
      <c r="D72" s="321"/>
      <c r="E72" s="322"/>
      <c r="F72" s="323"/>
      <c r="G72" s="324"/>
      <c r="H72" s="450">
        <v>15</v>
      </c>
      <c r="I72" s="450"/>
      <c r="J72" s="450"/>
      <c r="K72" s="145"/>
      <c r="L72" s="145"/>
    </row>
    <row r="73" spans="1:12" ht="15.75" thickBot="1" x14ac:dyDescent="0.3">
      <c r="A73" s="957" t="s">
        <v>9</v>
      </c>
      <c r="B73" s="957"/>
      <c r="C73" s="473" t="s">
        <v>28</v>
      </c>
      <c r="D73" s="474"/>
      <c r="E73" s="842"/>
      <c r="F73" s="842"/>
      <c r="G73" s="842"/>
      <c r="H73" s="449">
        <v>4.5</v>
      </c>
      <c r="I73" s="449"/>
      <c r="J73" s="449"/>
      <c r="K73" s="145"/>
      <c r="L73" s="145"/>
    </row>
    <row r="74" spans="1:12" ht="15.75" thickBot="1" x14ac:dyDescent="0.3">
      <c r="A74" s="570" t="s">
        <v>320</v>
      </c>
      <c r="B74" s="571"/>
      <c r="C74" s="571"/>
      <c r="D74" s="571"/>
      <c r="E74" s="571"/>
      <c r="F74" s="571"/>
      <c r="G74" s="571"/>
      <c r="H74" s="547">
        <f>SUM(H70:J73)</f>
        <v>219.5</v>
      </c>
      <c r="I74" s="485"/>
      <c r="J74" s="486"/>
      <c r="K74" s="145"/>
      <c r="L74" s="145"/>
    </row>
    <row r="75" spans="1:12" ht="9" customHeight="1" thickBot="1" x14ac:dyDescent="0.3">
      <c r="E75" s="131"/>
      <c r="F75" s="131"/>
      <c r="G75" s="131"/>
      <c r="H75" s="161"/>
      <c r="I75" s="161"/>
      <c r="J75" s="161"/>
      <c r="K75" s="145"/>
      <c r="L75" s="145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954" t="s">
        <v>2</v>
      </c>
      <c r="B77" s="955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237.70530177193919</v>
      </c>
      <c r="I77" s="457"/>
      <c r="J77" s="453"/>
      <c r="K77" s="145"/>
      <c r="L77" s="145"/>
    </row>
    <row r="78" spans="1:12" x14ac:dyDescent="0.25">
      <c r="A78" s="954" t="s">
        <v>7</v>
      </c>
      <c r="B78" s="955"/>
      <c r="C78" s="452" t="s">
        <v>12</v>
      </c>
      <c r="D78" s="453"/>
      <c r="E78" s="843">
        <v>9.9999049397341402E-2</v>
      </c>
      <c r="F78" s="840"/>
      <c r="G78" s="841"/>
      <c r="H78" s="456">
        <f>E78*(H74+E67+H46+E37+E12)</f>
        <v>339.57577448431556</v>
      </c>
      <c r="I78" s="457"/>
      <c r="J78" s="453"/>
      <c r="K78" s="145"/>
      <c r="L78" s="145"/>
    </row>
    <row r="79" spans="1:12" x14ac:dyDescent="0.25">
      <c r="A79" s="954" t="s">
        <v>8</v>
      </c>
      <c r="B79" s="955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3960.1049857882408</v>
      </c>
      <c r="I79" s="450"/>
      <c r="J79" s="450"/>
      <c r="K79" s="145"/>
      <c r="L79" s="145"/>
    </row>
    <row r="80" spans="1:12" x14ac:dyDescent="0.25">
      <c r="A80" s="956" t="s">
        <v>9</v>
      </c>
      <c r="B80" s="956"/>
      <c r="C80" s="482" t="s">
        <v>79</v>
      </c>
      <c r="D80" s="483"/>
      <c r="E80" s="497">
        <v>1.6500000000000001E-2</v>
      </c>
      <c r="F80" s="497"/>
      <c r="G80" s="497"/>
      <c r="H80" s="450">
        <f>E80*D88</f>
        <v>60.446760000000005</v>
      </c>
      <c r="I80" s="450"/>
      <c r="J80" s="450"/>
      <c r="K80" s="145"/>
      <c r="L80" s="145"/>
    </row>
    <row r="81" spans="1:12" x14ac:dyDescent="0.25">
      <c r="A81" s="956" t="s">
        <v>9</v>
      </c>
      <c r="B81" s="956"/>
      <c r="C81" s="482" t="s">
        <v>80</v>
      </c>
      <c r="D81" s="483"/>
      <c r="E81" s="497">
        <v>7.5999999999999998E-2</v>
      </c>
      <c r="F81" s="497"/>
      <c r="G81" s="497"/>
      <c r="H81" s="450">
        <f>E81*D88</f>
        <v>278.42144000000002</v>
      </c>
      <c r="I81" s="450"/>
      <c r="J81" s="450"/>
      <c r="K81" s="145"/>
      <c r="L81" s="145"/>
    </row>
    <row r="82" spans="1:12" x14ac:dyDescent="0.25">
      <c r="A82" s="956" t="s">
        <v>10</v>
      </c>
      <c r="B82" s="956"/>
      <c r="C82" s="482" t="s">
        <v>81</v>
      </c>
      <c r="D82" s="483"/>
      <c r="E82" s="497"/>
      <c r="F82" s="497"/>
      <c r="G82" s="497"/>
      <c r="H82" s="450"/>
      <c r="I82" s="450"/>
      <c r="J82" s="450"/>
      <c r="K82" s="145"/>
      <c r="L82" s="145"/>
    </row>
    <row r="83" spans="1:12" ht="15.75" thickBot="1" x14ac:dyDescent="0.3">
      <c r="A83" s="957" t="s">
        <v>11</v>
      </c>
      <c r="B83" s="957"/>
      <c r="C83" s="473" t="s">
        <v>82</v>
      </c>
      <c r="D83" s="474"/>
      <c r="E83" s="842">
        <v>0.05</v>
      </c>
      <c r="F83" s="842"/>
      <c r="G83" s="842"/>
      <c r="H83" s="449">
        <f>E83*D88</f>
        <v>183.17200000000003</v>
      </c>
      <c r="I83" s="449"/>
      <c r="J83" s="449"/>
      <c r="K83" s="145"/>
      <c r="L83" s="145"/>
    </row>
    <row r="84" spans="1:12" ht="15.75" thickBot="1" x14ac:dyDescent="0.3">
      <c r="A84" s="570" t="s">
        <v>321</v>
      </c>
      <c r="B84" s="571"/>
      <c r="C84" s="571"/>
      <c r="D84" s="571"/>
      <c r="E84" s="571"/>
      <c r="F84" s="571"/>
      <c r="G84" s="571"/>
      <c r="H84" s="547">
        <f>H77+H78+H80+H81+H83</f>
        <v>1099.3212762562548</v>
      </c>
      <c r="I84" s="485"/>
      <c r="J84" s="486"/>
      <c r="K84" s="145"/>
      <c r="L84" s="145"/>
    </row>
    <row r="85" spans="1:12" ht="10.5" customHeight="1" thickBot="1" x14ac:dyDescent="0.3">
      <c r="E85" s="131"/>
      <c r="F85" s="131"/>
      <c r="G85" s="131"/>
      <c r="H85" s="161"/>
      <c r="I85" s="161"/>
      <c r="J85" s="161"/>
      <c r="K85" s="145"/>
      <c r="L85" s="145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722">
        <f>SUM(H84+H74+E67+H46+E37+E12)</f>
        <v>4495.111301569671</v>
      </c>
      <c r="I86" s="723"/>
      <c r="J86" s="724"/>
      <c r="K86" s="145"/>
      <c r="L86" s="145"/>
    </row>
    <row r="87" spans="1:12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  <c r="K87" s="145"/>
      <c r="L87" s="145"/>
    </row>
    <row r="88" spans="1:12" x14ac:dyDescent="0.25">
      <c r="A88" s="145"/>
      <c r="B88" s="145"/>
      <c r="C88" s="145"/>
      <c r="D88" s="163">
        <v>3663.44</v>
      </c>
      <c r="E88" s="133"/>
      <c r="F88" s="133"/>
      <c r="G88" s="133"/>
      <c r="H88" s="145"/>
      <c r="I88" s="145"/>
      <c r="J88" s="145"/>
      <c r="K88" s="145"/>
      <c r="L88" s="145"/>
    </row>
    <row r="89" spans="1:12" x14ac:dyDescent="0.25">
      <c r="A89" s="145"/>
      <c r="B89" s="145"/>
      <c r="C89" s="145"/>
      <c r="D89" s="145"/>
      <c r="E89" s="133"/>
      <c r="F89" s="133"/>
      <c r="G89" s="133"/>
      <c r="H89" s="145"/>
      <c r="I89" s="145"/>
      <c r="J89" s="145"/>
      <c r="K89" s="145"/>
      <c r="L89" s="145"/>
    </row>
    <row r="90" spans="1:12" x14ac:dyDescent="0.25">
      <c r="A90" s="145"/>
      <c r="B90" s="145"/>
      <c r="C90" s="145"/>
      <c r="D90" s="145"/>
      <c r="E90" s="133"/>
      <c r="F90" s="133"/>
      <c r="G90" s="133"/>
      <c r="H90" s="145"/>
      <c r="I90" s="145"/>
      <c r="J90" s="145"/>
      <c r="K90" s="145"/>
      <c r="L90" s="145"/>
    </row>
    <row r="91" spans="1:12" x14ac:dyDescent="0.25">
      <c r="A91" s="145"/>
      <c r="B91" s="145"/>
      <c r="C91" s="145"/>
      <c r="D91" s="145"/>
      <c r="E91" s="133"/>
      <c r="F91" s="133"/>
      <c r="G91" s="133"/>
      <c r="H91" s="145"/>
      <c r="I91" s="145"/>
      <c r="J91" s="145"/>
      <c r="K91" s="145"/>
      <c r="L91" s="145"/>
    </row>
    <row r="92" spans="1:12" ht="15.75" thickBot="1" x14ac:dyDescent="0.3">
      <c r="A92" s="145"/>
      <c r="B92" s="145"/>
      <c r="C92" s="145"/>
      <c r="D92" s="145"/>
      <c r="E92" s="133"/>
      <c r="F92" s="133"/>
      <c r="G92" s="133"/>
      <c r="H92" s="145"/>
      <c r="I92" s="145"/>
      <c r="J92" s="145"/>
      <c r="K92" s="145"/>
      <c r="L92" s="145"/>
    </row>
  </sheetData>
  <mergeCells count="230">
    <mergeCell ref="A1:J1"/>
    <mergeCell ref="A2:C2"/>
    <mergeCell ref="D2:J2"/>
    <mergeCell ref="A3:J3"/>
    <mergeCell ref="A46:G46"/>
    <mergeCell ref="A74:G74"/>
    <mergeCell ref="A84:G84"/>
    <mergeCell ref="A80:B80"/>
    <mergeCell ref="C80:D80"/>
    <mergeCell ref="E80:G80"/>
    <mergeCell ref="H80:J80"/>
    <mergeCell ref="A81:B81"/>
    <mergeCell ref="C81:D81"/>
    <mergeCell ref="E81:G81"/>
    <mergeCell ref="H81:J81"/>
    <mergeCell ref="A77:B77"/>
    <mergeCell ref="C77:D77"/>
    <mergeCell ref="A78:B78"/>
    <mergeCell ref="C78:D78"/>
    <mergeCell ref="E78:G78"/>
    <mergeCell ref="H78:J78"/>
    <mergeCell ref="A79:B79"/>
    <mergeCell ref="C79:D79"/>
    <mergeCell ref="E79:G79"/>
    <mergeCell ref="A86:G86"/>
    <mergeCell ref="H86:J86"/>
    <mergeCell ref="A82:B82"/>
    <mergeCell ref="C82:D82"/>
    <mergeCell ref="E82:G82"/>
    <mergeCell ref="H82:J82"/>
    <mergeCell ref="A83:B83"/>
    <mergeCell ref="C83:D83"/>
    <mergeCell ref="E83:G83"/>
    <mergeCell ref="H83:J83"/>
    <mergeCell ref="H84:J84"/>
    <mergeCell ref="H79:J79"/>
    <mergeCell ref="A52:B52"/>
    <mergeCell ref="C52:D52"/>
    <mergeCell ref="E52:G52"/>
    <mergeCell ref="H52:J52"/>
    <mergeCell ref="A53:B53"/>
    <mergeCell ref="C53:D53"/>
    <mergeCell ref="A54:B54"/>
    <mergeCell ref="C54:D54"/>
    <mergeCell ref="E54:G54"/>
    <mergeCell ref="H54:J54"/>
    <mergeCell ref="H58:J58"/>
    <mergeCell ref="H59:J59"/>
    <mergeCell ref="E53:G53"/>
    <mergeCell ref="H53:J53"/>
    <mergeCell ref="H56:J56"/>
    <mergeCell ref="A55:B55"/>
    <mergeCell ref="C55:D55"/>
    <mergeCell ref="E55:G55"/>
    <mergeCell ref="H55:J55"/>
    <mergeCell ref="A56:D56"/>
    <mergeCell ref="E56:G56"/>
    <mergeCell ref="A57:J57"/>
    <mergeCell ref="A58:B58"/>
    <mergeCell ref="A37:D37"/>
    <mergeCell ref="E37:J37"/>
    <mergeCell ref="A39:J39"/>
    <mergeCell ref="A40:B40"/>
    <mergeCell ref="C40:D40"/>
    <mergeCell ref="A41:B41"/>
    <mergeCell ref="C41:D41"/>
    <mergeCell ref="H41:J41"/>
    <mergeCell ref="A42:B42"/>
    <mergeCell ref="C42:D42"/>
    <mergeCell ref="E42:G42"/>
    <mergeCell ref="H42:J42"/>
    <mergeCell ref="A23:B23"/>
    <mergeCell ref="A24:B24"/>
    <mergeCell ref="A25:B25"/>
    <mergeCell ref="A26:B26"/>
    <mergeCell ref="A27:B27"/>
    <mergeCell ref="A28:B28"/>
    <mergeCell ref="A29:B29"/>
    <mergeCell ref="C29:D29"/>
    <mergeCell ref="A30:D30"/>
    <mergeCell ref="C25:D25"/>
    <mergeCell ref="A4:J4"/>
    <mergeCell ref="A5:J5"/>
    <mergeCell ref="B6:D6"/>
    <mergeCell ref="B7:D7"/>
    <mergeCell ref="B8:D8"/>
    <mergeCell ref="E8:J8"/>
    <mergeCell ref="B9:D9"/>
    <mergeCell ref="E9:J9"/>
    <mergeCell ref="B10:D10"/>
    <mergeCell ref="E10:J10"/>
    <mergeCell ref="E6:J6"/>
    <mergeCell ref="E7:J7"/>
    <mergeCell ref="B11:D11"/>
    <mergeCell ref="E11:J11"/>
    <mergeCell ref="A12:D12"/>
    <mergeCell ref="E12:J12"/>
    <mergeCell ref="A13:D13"/>
    <mergeCell ref="E13:J13"/>
    <mergeCell ref="A14:J14"/>
    <mergeCell ref="A15:J15"/>
    <mergeCell ref="A16:J16"/>
    <mergeCell ref="C22:D22"/>
    <mergeCell ref="E22:G22"/>
    <mergeCell ref="H22:J22"/>
    <mergeCell ref="E17:G17"/>
    <mergeCell ref="H17:J17"/>
    <mergeCell ref="E18:G18"/>
    <mergeCell ref="H18:J18"/>
    <mergeCell ref="B17:D17"/>
    <mergeCell ref="B18:D18"/>
    <mergeCell ref="A19:G19"/>
    <mergeCell ref="H19:J19"/>
    <mergeCell ref="B20:D20"/>
    <mergeCell ref="E20:G20"/>
    <mergeCell ref="H20:J20"/>
    <mergeCell ref="A21:J21"/>
    <mergeCell ref="A22:B22"/>
    <mergeCell ref="E25:G25"/>
    <mergeCell ref="H25:J25"/>
    <mergeCell ref="C26:D26"/>
    <mergeCell ref="E26:G26"/>
    <mergeCell ref="H26:J26"/>
    <mergeCell ref="C23:D23"/>
    <mergeCell ref="E23:G23"/>
    <mergeCell ref="H23:J23"/>
    <mergeCell ref="C24:D24"/>
    <mergeCell ref="E24:G24"/>
    <mergeCell ref="H24:J24"/>
    <mergeCell ref="E29:G29"/>
    <mergeCell ref="H29:J29"/>
    <mergeCell ref="A31:J31"/>
    <mergeCell ref="C32:D32"/>
    <mergeCell ref="E32:G32"/>
    <mergeCell ref="H32:J32"/>
    <mergeCell ref="C27:D27"/>
    <mergeCell ref="E27:G27"/>
    <mergeCell ref="H27:J27"/>
    <mergeCell ref="C28:D28"/>
    <mergeCell ref="E28:G28"/>
    <mergeCell ref="H28:J28"/>
    <mergeCell ref="E30:G30"/>
    <mergeCell ref="H30:J30"/>
    <mergeCell ref="A32:B32"/>
    <mergeCell ref="A33:B33"/>
    <mergeCell ref="A34:B34"/>
    <mergeCell ref="A35:B35"/>
    <mergeCell ref="A36:G36"/>
    <mergeCell ref="C43:D43"/>
    <mergeCell ref="E43:G43"/>
    <mergeCell ref="H43:J43"/>
    <mergeCell ref="C44:D44"/>
    <mergeCell ref="E44:G44"/>
    <mergeCell ref="H44:J44"/>
    <mergeCell ref="A38:J38"/>
    <mergeCell ref="H40:J40"/>
    <mergeCell ref="A43:B43"/>
    <mergeCell ref="A44:B44"/>
    <mergeCell ref="C35:D35"/>
    <mergeCell ref="E35:G35"/>
    <mergeCell ref="H35:J35"/>
    <mergeCell ref="H36:J36"/>
    <mergeCell ref="C33:D33"/>
    <mergeCell ref="E33:G33"/>
    <mergeCell ref="H33:J33"/>
    <mergeCell ref="C34:D34"/>
    <mergeCell ref="E34:G34"/>
    <mergeCell ref="H34:J34"/>
    <mergeCell ref="H49:J49"/>
    <mergeCell ref="E51:G51"/>
    <mergeCell ref="H51:J51"/>
    <mergeCell ref="E45:G45"/>
    <mergeCell ref="H45:J45"/>
    <mergeCell ref="A45:B45"/>
    <mergeCell ref="C45:D45"/>
    <mergeCell ref="H46:J46"/>
    <mergeCell ref="A48:J48"/>
    <mergeCell ref="A49:B49"/>
    <mergeCell ref="C49:D49"/>
    <mergeCell ref="A50:B50"/>
    <mergeCell ref="C50:D50"/>
    <mergeCell ref="H50:J50"/>
    <mergeCell ref="A51:B51"/>
    <mergeCell ref="C51:D51"/>
    <mergeCell ref="C58:D58"/>
    <mergeCell ref="A59:B59"/>
    <mergeCell ref="C59:D59"/>
    <mergeCell ref="A67:D67"/>
    <mergeCell ref="E67:J67"/>
    <mergeCell ref="E73:G73"/>
    <mergeCell ref="H73:J73"/>
    <mergeCell ref="E77:G77"/>
    <mergeCell ref="H77:J77"/>
    <mergeCell ref="A70:B70"/>
    <mergeCell ref="C70:D70"/>
    <mergeCell ref="E70:G70"/>
    <mergeCell ref="H70:J70"/>
    <mergeCell ref="H71:J71"/>
    <mergeCell ref="A69:J69"/>
    <mergeCell ref="A71:B71"/>
    <mergeCell ref="C71:D71"/>
    <mergeCell ref="A72:B72"/>
    <mergeCell ref="C72:D72"/>
    <mergeCell ref="E72:G72"/>
    <mergeCell ref="H72:J72"/>
    <mergeCell ref="A73:B73"/>
    <mergeCell ref="C73:D73"/>
    <mergeCell ref="H74:J74"/>
    <mergeCell ref="A76:J76"/>
    <mergeCell ref="E66:G66"/>
    <mergeCell ref="H66:J66"/>
    <mergeCell ref="H60:J60"/>
    <mergeCell ref="H62:J62"/>
    <mergeCell ref="A65:B65"/>
    <mergeCell ref="C65:D65"/>
    <mergeCell ref="H65:J65"/>
    <mergeCell ref="A63:J63"/>
    <mergeCell ref="A64:B64"/>
    <mergeCell ref="C64:D64"/>
    <mergeCell ref="H64:J64"/>
    <mergeCell ref="A66:D66"/>
    <mergeCell ref="A60:B60"/>
    <mergeCell ref="C60:D60"/>
    <mergeCell ref="E60:G60"/>
    <mergeCell ref="A61:B61"/>
    <mergeCell ref="C61:D61"/>
    <mergeCell ref="E61:G61"/>
    <mergeCell ref="H61:J61"/>
    <mergeCell ref="A62:D62"/>
    <mergeCell ref="E62:G62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L92"/>
  <sheetViews>
    <sheetView topLeftCell="A70" workbookViewId="0">
      <selection activeCell="M47" sqref="M47"/>
    </sheetView>
  </sheetViews>
  <sheetFormatPr defaultRowHeight="15" x14ac:dyDescent="0.25"/>
  <cols>
    <col min="1" max="1" width="6.7109375" style="146" customWidth="1"/>
    <col min="2" max="2" width="3.42578125" style="134" customWidth="1"/>
    <col min="3" max="3" width="10.42578125" style="134" customWidth="1"/>
    <col min="4" max="4" width="39.5703125" style="134" customWidth="1"/>
    <col min="5" max="7" width="3" style="134" customWidth="1"/>
    <col min="8" max="8" width="3.5703125" style="134" customWidth="1"/>
    <col min="9" max="9" width="5.7109375" style="134" hidden="1" customWidth="1"/>
    <col min="10" max="10" width="10.4257812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379</v>
      </c>
      <c r="E2" s="738"/>
      <c r="F2" s="738"/>
      <c r="G2" s="738"/>
      <c r="H2" s="738"/>
      <c r="I2" s="738"/>
      <c r="J2" s="739"/>
      <c r="K2" s="136"/>
    </row>
    <row r="3" spans="1:12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45"/>
      <c r="L5" s="145"/>
    </row>
    <row r="6" spans="1:12" x14ac:dyDescent="0.25">
      <c r="A6" s="123" t="s">
        <v>2</v>
      </c>
      <c r="B6" s="606" t="s">
        <v>1</v>
      </c>
      <c r="C6" s="607"/>
      <c r="D6" s="608"/>
      <c r="E6" s="567">
        <v>1398.79</v>
      </c>
      <c r="F6" s="568"/>
      <c r="G6" s="568"/>
      <c r="H6" s="568"/>
      <c r="I6" s="568"/>
      <c r="J6" s="568"/>
      <c r="K6" s="145"/>
      <c r="L6" s="145"/>
    </row>
    <row r="7" spans="1:12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45"/>
      <c r="L7" s="145"/>
    </row>
    <row r="8" spans="1:12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45"/>
      <c r="L8" s="145"/>
    </row>
    <row r="9" spans="1:12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45"/>
      <c r="L9" s="145"/>
    </row>
    <row r="10" spans="1:12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45"/>
      <c r="L10" s="145"/>
    </row>
    <row r="11" spans="1:12" ht="32.25" customHeight="1" thickBot="1" x14ac:dyDescent="0.3">
      <c r="A11" s="125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45"/>
      <c r="L11" s="145"/>
    </row>
    <row r="12" spans="1:12" ht="15.75" thickBot="1" x14ac:dyDescent="0.3">
      <c r="A12" s="458" t="s">
        <v>319</v>
      </c>
      <c r="B12" s="459"/>
      <c r="C12" s="459"/>
      <c r="D12" s="725"/>
      <c r="E12" s="547">
        <f>SUM(E6:J11)</f>
        <v>1398.79</v>
      </c>
      <c r="F12" s="485"/>
      <c r="G12" s="485"/>
      <c r="H12" s="485"/>
      <c r="I12" s="485"/>
      <c r="J12" s="486"/>
      <c r="K12" s="145"/>
      <c r="L12" s="145"/>
    </row>
    <row r="13" spans="1:12" ht="30" customHeight="1" x14ac:dyDescent="0.25">
      <c r="A13" s="551" t="s">
        <v>29</v>
      </c>
      <c r="B13" s="715"/>
      <c r="C13" s="715"/>
      <c r="D13" s="716"/>
      <c r="E13" s="548">
        <f>E12*E30</f>
        <v>514.75472000000002</v>
      </c>
      <c r="F13" s="549"/>
      <c r="G13" s="549"/>
      <c r="H13" s="549"/>
      <c r="I13" s="549"/>
      <c r="J13" s="550"/>
      <c r="K13" s="145"/>
      <c r="L13" s="145"/>
    </row>
    <row r="14" spans="1:12" ht="9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45"/>
      <c r="L14" s="145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360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3" t="s">
        <v>2</v>
      </c>
      <c r="B17" s="482" t="s">
        <v>34</v>
      </c>
      <c r="C17" s="521"/>
      <c r="D17" s="483"/>
      <c r="E17" s="619">
        <v>8.3299999999999999E-2</v>
      </c>
      <c r="F17" s="620"/>
      <c r="G17" s="621"/>
      <c r="H17" s="450">
        <f>E17*E12</f>
        <v>116.51920699999999</v>
      </c>
      <c r="I17" s="450"/>
      <c r="J17" s="450"/>
      <c r="K17" s="145"/>
      <c r="L17" s="145"/>
    </row>
    <row r="18" spans="1:12" x14ac:dyDescent="0.25">
      <c r="A18" s="123" t="s">
        <v>7</v>
      </c>
      <c r="B18" s="482" t="s">
        <v>35</v>
      </c>
      <c r="C18" s="521"/>
      <c r="D18" s="483"/>
      <c r="E18" s="287">
        <v>0.121</v>
      </c>
      <c r="F18" s="288"/>
      <c r="G18" s="289"/>
      <c r="H18" s="450">
        <f>E18*E12</f>
        <v>169.25359</v>
      </c>
      <c r="I18" s="450"/>
      <c r="J18" s="450"/>
      <c r="K18" s="145"/>
      <c r="L18" s="145"/>
    </row>
    <row r="19" spans="1:12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285.77279699999997</v>
      </c>
      <c r="I19" s="525"/>
      <c r="J19" s="525"/>
      <c r="K19" s="145"/>
      <c r="L19" s="145"/>
    </row>
    <row r="20" spans="1:12" ht="30.75" customHeight="1" thickBot="1" x14ac:dyDescent="0.3">
      <c r="A20" s="123" t="s">
        <v>8</v>
      </c>
      <c r="B20" s="284" t="s">
        <v>37</v>
      </c>
      <c r="C20" s="285"/>
      <c r="D20" s="286"/>
      <c r="E20" s="287">
        <v>7.8200000000000006E-2</v>
      </c>
      <c r="F20" s="288"/>
      <c r="G20" s="289"/>
      <c r="H20" s="290">
        <f>E12*E20</f>
        <v>109.385378</v>
      </c>
      <c r="I20" s="291"/>
      <c r="J20" s="292"/>
      <c r="K20" s="145"/>
      <c r="L20" s="145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336.91255940000002</v>
      </c>
      <c r="I22" s="450"/>
      <c r="J22" s="450"/>
      <c r="K22" s="145"/>
      <c r="L22" s="145"/>
    </row>
    <row r="23" spans="1:12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42.114069925000003</v>
      </c>
      <c r="I23" s="450"/>
      <c r="J23" s="450"/>
      <c r="K23" s="145"/>
      <c r="L23" s="145"/>
    </row>
    <row r="24" spans="1:12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50.53688391</v>
      </c>
      <c r="I24" s="450"/>
      <c r="J24" s="450"/>
      <c r="K24" s="145"/>
      <c r="L24" s="145"/>
    </row>
    <row r="25" spans="1:12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25.268441955</v>
      </c>
      <c r="I25" s="450"/>
      <c r="J25" s="450"/>
      <c r="K25" s="145"/>
      <c r="L25" s="145"/>
    </row>
    <row r="26" spans="1:12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16.845627970000002</v>
      </c>
      <c r="I26" s="450"/>
      <c r="J26" s="450"/>
      <c r="K26" s="145"/>
      <c r="L26" s="145"/>
    </row>
    <row r="27" spans="1:12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10.107376782000001</v>
      </c>
      <c r="I27" s="450"/>
      <c r="J27" s="450"/>
      <c r="K27" s="145"/>
      <c r="L27" s="145"/>
    </row>
    <row r="28" spans="1:12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3.3691255940000002</v>
      </c>
      <c r="I28" s="450"/>
      <c r="J28" s="450"/>
      <c r="K28" s="145"/>
      <c r="L28" s="145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134.76502376000002</v>
      </c>
      <c r="I29" s="450"/>
      <c r="J29" s="450"/>
      <c r="K29" s="145"/>
      <c r="L29" s="145"/>
    </row>
    <row r="30" spans="1:12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619.91910929600022</v>
      </c>
      <c r="I30" s="592"/>
      <c r="J30" s="592"/>
      <c r="K30" s="145"/>
      <c r="L30" s="145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(3.9*2*16)-6%*E6</f>
        <v>40.872600000000006</v>
      </c>
      <c r="I32" s="450"/>
      <c r="J32" s="450"/>
      <c r="K32" s="145"/>
      <c r="L32" s="145"/>
    </row>
    <row r="33" spans="1:12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21.63*16-20%</f>
        <v>345.88</v>
      </c>
      <c r="I33" s="450"/>
      <c r="J33" s="450"/>
      <c r="K33" s="145"/>
      <c r="L33" s="145"/>
    </row>
    <row r="34" spans="1:12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45"/>
      <c r="L34" s="145"/>
    </row>
    <row r="35" spans="1:12" x14ac:dyDescent="0.25">
      <c r="A35" s="482" t="s">
        <v>9</v>
      </c>
      <c r="B35" s="483"/>
      <c r="C35" s="478" t="s">
        <v>28</v>
      </c>
      <c r="D35" s="479"/>
      <c r="E35" s="497"/>
      <c r="F35" s="497"/>
      <c r="G35" s="497"/>
      <c r="H35" s="450">
        <v>25.95</v>
      </c>
      <c r="I35" s="450"/>
      <c r="J35" s="450"/>
      <c r="K35" s="145"/>
      <c r="L35" s="145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449.27260000000001</v>
      </c>
      <c r="I36" s="451"/>
      <c r="J36" s="451"/>
      <c r="K36" s="145"/>
      <c r="L36" s="145"/>
    </row>
    <row r="37" spans="1:12" ht="15.75" thickBot="1" x14ac:dyDescent="0.3">
      <c r="A37" s="458" t="s">
        <v>72</v>
      </c>
      <c r="B37" s="459"/>
      <c r="C37" s="459"/>
      <c r="D37" s="460"/>
      <c r="E37" s="587">
        <f>H19+H30+H36</f>
        <v>1354.9645062960003</v>
      </c>
      <c r="F37" s="498"/>
      <c r="G37" s="498"/>
      <c r="H37" s="498"/>
      <c r="I37" s="498"/>
      <c r="J37" s="499"/>
      <c r="K37" s="145"/>
      <c r="L37" s="145"/>
    </row>
    <row r="38" spans="1:12" ht="11.2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45"/>
      <c r="L38" s="145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452" t="s">
        <v>2</v>
      </c>
      <c r="B40" s="453"/>
      <c r="C40" s="452" t="s">
        <v>51</v>
      </c>
      <c r="D40" s="453"/>
      <c r="E40" s="157"/>
      <c r="F40" s="158"/>
      <c r="G40" s="159"/>
      <c r="H40" s="456">
        <f>E12/12*5%</f>
        <v>5.8282916666666669</v>
      </c>
      <c r="I40" s="457"/>
      <c r="J40" s="453"/>
      <c r="K40" s="145"/>
      <c r="L40" s="145"/>
    </row>
    <row r="41" spans="1:12" x14ac:dyDescent="0.25">
      <c r="A41" s="452" t="s">
        <v>7</v>
      </c>
      <c r="B41" s="453"/>
      <c r="C41" s="452" t="s">
        <v>52</v>
      </c>
      <c r="D41" s="453"/>
      <c r="E41" s="157"/>
      <c r="F41" s="158"/>
      <c r="G41" s="159"/>
      <c r="H41" s="456">
        <f>H40*8%</f>
        <v>0.46626333333333336</v>
      </c>
      <c r="I41" s="457"/>
      <c r="J41" s="453"/>
      <c r="K41" s="145"/>
      <c r="L41" s="145"/>
    </row>
    <row r="42" spans="1:12" ht="33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45"/>
      <c r="L42" s="145"/>
    </row>
    <row r="43" spans="1:12" x14ac:dyDescent="0.25">
      <c r="A43" s="481" t="s">
        <v>9</v>
      </c>
      <c r="B43" s="481"/>
      <c r="C43" s="482" t="s">
        <v>54</v>
      </c>
      <c r="D43" s="483"/>
      <c r="E43" s="480"/>
      <c r="F43" s="480"/>
      <c r="G43" s="480"/>
      <c r="H43" s="450">
        <f>E12/30/12*7*100%</f>
        <v>27.198694444444445</v>
      </c>
      <c r="I43" s="450"/>
      <c r="J43" s="450"/>
      <c r="K43" s="145"/>
      <c r="L43" s="145"/>
    </row>
    <row r="44" spans="1:12" ht="30" customHeight="1" x14ac:dyDescent="0.25">
      <c r="A44" s="481" t="s">
        <v>10</v>
      </c>
      <c r="B44" s="481"/>
      <c r="C44" s="478" t="s">
        <v>83</v>
      </c>
      <c r="D44" s="479"/>
      <c r="E44" s="480"/>
      <c r="F44" s="480"/>
      <c r="G44" s="480"/>
      <c r="H44" s="450">
        <f>H43*39.8%</f>
        <v>10.825080388888889</v>
      </c>
      <c r="I44" s="450"/>
      <c r="J44" s="450"/>
      <c r="K44" s="145"/>
      <c r="L44" s="145"/>
    </row>
    <row r="45" spans="1:12" ht="31.5" customHeight="1" thickBot="1" x14ac:dyDescent="0.3">
      <c r="A45" s="473" t="s">
        <v>11</v>
      </c>
      <c r="B45" s="474"/>
      <c r="C45" s="834" t="s">
        <v>53</v>
      </c>
      <c r="D45" s="835"/>
      <c r="E45" s="467"/>
      <c r="F45" s="468"/>
      <c r="G45" s="469"/>
      <c r="H45" s="470">
        <f>E12*5%</f>
        <v>69.939499999999995</v>
      </c>
      <c r="I45" s="471"/>
      <c r="J45" s="472"/>
      <c r="K45" s="145"/>
      <c r="L45" s="145"/>
    </row>
    <row r="46" spans="1:12" ht="15.75" thickBot="1" x14ac:dyDescent="0.3">
      <c r="A46" s="570" t="s">
        <v>318</v>
      </c>
      <c r="B46" s="571"/>
      <c r="C46" s="571"/>
      <c r="D46" s="571"/>
      <c r="E46" s="571"/>
      <c r="F46" s="571"/>
      <c r="G46" s="572"/>
      <c r="H46" s="547">
        <f>SUM(H40:J45)</f>
        <v>114.25782983333333</v>
      </c>
      <c r="I46" s="485"/>
      <c r="J46" s="486"/>
      <c r="K46" s="145"/>
      <c r="L46" s="145"/>
    </row>
    <row r="47" spans="1:12" ht="9.75" customHeight="1" thickBot="1" x14ac:dyDescent="0.3">
      <c r="E47" s="160"/>
      <c r="F47" s="160"/>
      <c r="G47" s="160"/>
      <c r="H47" s="161"/>
      <c r="I47" s="161"/>
      <c r="J47" s="161"/>
      <c r="K47" s="145"/>
      <c r="L47" s="145"/>
    </row>
    <row r="48" spans="1:12" ht="33" customHeight="1" thickBot="1" x14ac:dyDescent="0.3">
      <c r="A48" s="494" t="s">
        <v>371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452" t="s">
        <v>2</v>
      </c>
      <c r="B49" s="453"/>
      <c r="C49" s="452" t="s">
        <v>56</v>
      </c>
      <c r="D49" s="453"/>
      <c r="E49" s="157"/>
      <c r="F49" s="158"/>
      <c r="G49" s="159"/>
      <c r="H49" s="456">
        <f>E20/12*5%</f>
        <v>3.2583333333333336E-4</v>
      </c>
      <c r="I49" s="457"/>
      <c r="J49" s="453"/>
      <c r="K49" s="145"/>
      <c r="L49" s="145"/>
    </row>
    <row r="50" spans="1:12" x14ac:dyDescent="0.25">
      <c r="A50" s="452" t="s">
        <v>7</v>
      </c>
      <c r="B50" s="453"/>
      <c r="C50" s="452" t="s">
        <v>57</v>
      </c>
      <c r="D50" s="453"/>
      <c r="E50" s="157"/>
      <c r="F50" s="158"/>
      <c r="G50" s="159"/>
      <c r="H50" s="456">
        <f>E12/30/12</f>
        <v>3.8855277777777779</v>
      </c>
      <c r="I50" s="457"/>
      <c r="J50" s="453"/>
      <c r="K50" s="145"/>
      <c r="L50" s="145"/>
    </row>
    <row r="51" spans="1:12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0.29141458333333331</v>
      </c>
      <c r="I51" s="450"/>
      <c r="J51" s="450"/>
      <c r="K51" s="145"/>
      <c r="L51" s="145"/>
    </row>
    <row r="52" spans="1:12" x14ac:dyDescent="0.25">
      <c r="A52" s="481" t="s">
        <v>9</v>
      </c>
      <c r="B52" s="481"/>
      <c r="C52" s="284" t="s">
        <v>59</v>
      </c>
      <c r="D52" s="286"/>
      <c r="E52" s="480"/>
      <c r="F52" s="480"/>
      <c r="G52" s="480"/>
      <c r="H52" s="450">
        <f>E12/30/12*15*8%</f>
        <v>4.662633333333333</v>
      </c>
      <c r="I52" s="450"/>
      <c r="J52" s="450"/>
      <c r="K52" s="145"/>
      <c r="L52" s="145"/>
    </row>
    <row r="53" spans="1:12" x14ac:dyDescent="0.25">
      <c r="A53" s="481" t="s">
        <v>10</v>
      </c>
      <c r="B53" s="481"/>
      <c r="C53" s="478" t="s">
        <v>60</v>
      </c>
      <c r="D53" s="479"/>
      <c r="E53" s="480"/>
      <c r="F53" s="480"/>
      <c r="G53" s="480"/>
      <c r="H53" s="450">
        <f>E20*5%</f>
        <v>3.9100000000000003E-3</v>
      </c>
      <c r="I53" s="450"/>
      <c r="J53" s="450"/>
      <c r="K53" s="145"/>
      <c r="L53" s="145"/>
    </row>
    <row r="54" spans="1:12" x14ac:dyDescent="0.25">
      <c r="A54" s="481" t="s">
        <v>11</v>
      </c>
      <c r="B54" s="481"/>
      <c r="C54" s="478" t="s">
        <v>61</v>
      </c>
      <c r="D54" s="479"/>
      <c r="E54" s="480"/>
      <c r="F54" s="480"/>
      <c r="G54" s="480"/>
      <c r="H54" s="450">
        <f>E12/30/12*5*40%</f>
        <v>7.7710555555555558</v>
      </c>
      <c r="I54" s="450"/>
      <c r="J54" s="450"/>
      <c r="K54" s="145"/>
      <c r="L54" s="145"/>
    </row>
    <row r="55" spans="1:12" ht="31.5" customHeight="1" x14ac:dyDescent="0.25">
      <c r="A55" s="481" t="s">
        <v>39</v>
      </c>
      <c r="B55" s="481"/>
      <c r="C55" s="478" t="s">
        <v>62</v>
      </c>
      <c r="D55" s="479"/>
      <c r="E55" s="480"/>
      <c r="F55" s="480"/>
      <c r="G55" s="480"/>
      <c r="H55" s="450">
        <f>SUM(H49:J54)*39.8%</f>
        <v>6.6127170991666651</v>
      </c>
      <c r="I55" s="450"/>
      <c r="J55" s="450"/>
      <c r="K55" s="145"/>
      <c r="L55" s="145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23.227584182499996</v>
      </c>
      <c r="I56" s="592"/>
      <c r="J56" s="592"/>
      <c r="K56" s="145"/>
      <c r="L56" s="145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1.5" customHeight="1" x14ac:dyDescent="0.25">
      <c r="A58" s="452" t="s">
        <v>2</v>
      </c>
      <c r="B58" s="453"/>
      <c r="C58" s="454" t="s">
        <v>64</v>
      </c>
      <c r="D58" s="455"/>
      <c r="E58" s="157"/>
      <c r="F58" s="158"/>
      <c r="G58" s="159"/>
      <c r="H58" s="456">
        <f>((((E12+(E12/3))*0.3333)/12)*2%)</f>
        <v>1.0360371266666666</v>
      </c>
      <c r="I58" s="457"/>
      <c r="J58" s="453"/>
      <c r="K58" s="145"/>
      <c r="L58" s="145"/>
    </row>
    <row r="59" spans="1:12" ht="45.75" customHeight="1" x14ac:dyDescent="0.25">
      <c r="A59" s="452" t="s">
        <v>7</v>
      </c>
      <c r="B59" s="453"/>
      <c r="C59" s="454" t="s">
        <v>65</v>
      </c>
      <c r="D59" s="455"/>
      <c r="E59" s="157"/>
      <c r="F59" s="158"/>
      <c r="G59" s="159"/>
      <c r="H59" s="456">
        <f>H58*39.8%</f>
        <v>0.41234277641333328</v>
      </c>
      <c r="I59" s="457"/>
      <c r="J59" s="453"/>
      <c r="K59" s="145"/>
      <c r="L59" s="145"/>
    </row>
    <row r="60" spans="1:12" ht="4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4.01659980881076</v>
      </c>
      <c r="I60" s="450"/>
      <c r="J60" s="450"/>
      <c r="K60" s="145"/>
      <c r="L60" s="145"/>
    </row>
    <row r="61" spans="1:12" x14ac:dyDescent="0.25">
      <c r="A61" s="481" t="s">
        <v>9</v>
      </c>
      <c r="B61" s="481"/>
      <c r="C61" s="482" t="s">
        <v>67</v>
      </c>
      <c r="D61" s="483"/>
      <c r="E61" s="480"/>
      <c r="F61" s="480"/>
      <c r="G61" s="480"/>
      <c r="H61" s="450"/>
      <c r="I61" s="450"/>
      <c r="J61" s="450"/>
      <c r="K61" s="145"/>
      <c r="L61" s="145"/>
    </row>
    <row r="62" spans="1:12" ht="15" customHeight="1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5.4649797118907593</v>
      </c>
      <c r="I62" s="592"/>
      <c r="J62" s="592"/>
      <c r="K62" s="145"/>
      <c r="L62" s="145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0" customHeight="1" x14ac:dyDescent="0.25">
      <c r="A64" s="452" t="s">
        <v>2</v>
      </c>
      <c r="B64" s="453"/>
      <c r="C64" s="454" t="s">
        <v>69</v>
      </c>
      <c r="D64" s="455"/>
      <c r="E64" s="157"/>
      <c r="F64" s="158"/>
      <c r="G64" s="159"/>
      <c r="H64" s="456">
        <f>((((E18+(E18/3))*0.3333)/12)*2%)</f>
        <v>8.9620666666666654E-5</v>
      </c>
      <c r="I64" s="457"/>
      <c r="J64" s="453"/>
      <c r="K64" s="145"/>
      <c r="L64" s="145"/>
    </row>
    <row r="65" spans="1:12" ht="31.5" customHeight="1" x14ac:dyDescent="0.25">
      <c r="A65" s="452" t="s">
        <v>7</v>
      </c>
      <c r="B65" s="453"/>
      <c r="C65" s="454" t="s">
        <v>70</v>
      </c>
      <c r="D65" s="455"/>
      <c r="E65" s="157"/>
      <c r="F65" s="158"/>
      <c r="G65" s="159"/>
      <c r="H65" s="456">
        <f>H64*39.8%</f>
        <v>3.5669025333333325E-5</v>
      </c>
      <c r="I65" s="457"/>
      <c r="J65" s="453"/>
      <c r="K65" s="145"/>
      <c r="L65" s="145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45"/>
      <c r="L66" s="145"/>
    </row>
    <row r="67" spans="1:12" ht="15.75" thickBot="1" x14ac:dyDescent="0.3">
      <c r="A67" s="458" t="s">
        <v>71</v>
      </c>
      <c r="B67" s="459"/>
      <c r="C67" s="459"/>
      <c r="D67" s="725"/>
      <c r="E67" s="587">
        <f>H66+H62+H56</f>
        <v>28.692689184082756</v>
      </c>
      <c r="F67" s="498"/>
      <c r="G67" s="498"/>
      <c r="H67" s="498"/>
      <c r="I67" s="498"/>
      <c r="J67" s="499"/>
      <c r="K67" s="145"/>
      <c r="L67" s="145"/>
    </row>
    <row r="68" spans="1:12" ht="11.25" customHeight="1" thickBot="1" x14ac:dyDescent="0.3">
      <c r="A68" s="135"/>
      <c r="B68" s="135"/>
      <c r="C68" s="135"/>
      <c r="D68" s="135"/>
      <c r="E68" s="135"/>
      <c r="F68" s="135"/>
      <c r="G68" s="135"/>
      <c r="H68" s="135"/>
      <c r="I68" s="135"/>
      <c r="J68" s="135"/>
      <c r="K68" s="145"/>
      <c r="L68" s="145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452" t="s">
        <v>2</v>
      </c>
      <c r="B70" s="453"/>
      <c r="C70" s="452" t="s">
        <v>74</v>
      </c>
      <c r="D70" s="453"/>
      <c r="E70" s="452"/>
      <c r="F70" s="457"/>
      <c r="G70" s="453"/>
      <c r="H70" s="456">
        <v>200</v>
      </c>
      <c r="I70" s="457"/>
      <c r="J70" s="453"/>
      <c r="K70" s="145"/>
      <c r="L70" s="145"/>
    </row>
    <row r="71" spans="1:12" x14ac:dyDescent="0.25">
      <c r="A71" s="452" t="s">
        <v>7</v>
      </c>
      <c r="B71" s="453"/>
      <c r="C71" s="452" t="s">
        <v>75</v>
      </c>
      <c r="D71" s="453"/>
      <c r="E71" s="157"/>
      <c r="F71" s="158"/>
      <c r="G71" s="159"/>
      <c r="H71" s="456"/>
      <c r="I71" s="457"/>
      <c r="J71" s="453"/>
      <c r="K71" s="145"/>
      <c r="L71" s="145"/>
    </row>
    <row r="72" spans="1:12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15</v>
      </c>
      <c r="I72" s="450"/>
      <c r="J72" s="450"/>
      <c r="K72" s="145"/>
      <c r="L72" s="145"/>
    </row>
    <row r="73" spans="1:12" ht="15.75" thickBot="1" x14ac:dyDescent="0.3">
      <c r="A73" s="477" t="s">
        <v>9</v>
      </c>
      <c r="B73" s="477"/>
      <c r="C73" s="473" t="s">
        <v>28</v>
      </c>
      <c r="D73" s="474"/>
      <c r="E73" s="448"/>
      <c r="F73" s="448"/>
      <c r="G73" s="448"/>
      <c r="H73" s="449">
        <v>4.5</v>
      </c>
      <c r="I73" s="449"/>
      <c r="J73" s="449"/>
      <c r="K73" s="145"/>
      <c r="L73" s="145"/>
    </row>
    <row r="74" spans="1:12" ht="15.75" thickBot="1" x14ac:dyDescent="0.3">
      <c r="A74" s="570" t="s">
        <v>320</v>
      </c>
      <c r="B74" s="571"/>
      <c r="C74" s="571"/>
      <c r="D74" s="571"/>
      <c r="E74" s="571"/>
      <c r="F74" s="571"/>
      <c r="G74" s="571"/>
      <c r="H74" s="547">
        <f>SUM(H70:J73)</f>
        <v>219.5</v>
      </c>
      <c r="I74" s="485"/>
      <c r="J74" s="486"/>
      <c r="K74" s="145"/>
      <c r="L74" s="145"/>
    </row>
    <row r="75" spans="1:12" ht="9" customHeight="1" thickBot="1" x14ac:dyDescent="0.3">
      <c r="E75" s="160"/>
      <c r="F75" s="160"/>
      <c r="G75" s="160"/>
      <c r="H75" s="161"/>
      <c r="I75" s="161"/>
      <c r="J75" s="161"/>
      <c r="K75" s="145"/>
      <c r="L75" s="145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452" t="s">
        <v>2</v>
      </c>
      <c r="B77" s="453"/>
      <c r="C77" s="452" t="s">
        <v>77</v>
      </c>
      <c r="D77" s="453"/>
      <c r="E77" s="537">
        <v>7.0000000000000007E-2</v>
      </c>
      <c r="F77" s="457"/>
      <c r="G77" s="453"/>
      <c r="H77" s="456">
        <f>(H74+E67+H46+E37+E12)*E77</f>
        <v>218.13435177193918</v>
      </c>
      <c r="I77" s="457"/>
      <c r="J77" s="453"/>
      <c r="K77" s="145"/>
      <c r="L77" s="145"/>
    </row>
    <row r="78" spans="1:12" x14ac:dyDescent="0.25">
      <c r="A78" s="452" t="s">
        <v>7</v>
      </c>
      <c r="B78" s="453"/>
      <c r="C78" s="452" t="s">
        <v>12</v>
      </c>
      <c r="D78" s="453"/>
      <c r="E78" s="537">
        <v>9.9999049397341402E-2</v>
      </c>
      <c r="F78" s="457"/>
      <c r="G78" s="453"/>
      <c r="H78" s="456">
        <f>E78*(H74+E67+H46+E37+E12)</f>
        <v>311.61754025855987</v>
      </c>
      <c r="I78" s="457"/>
      <c r="J78" s="453"/>
      <c r="K78" s="145"/>
      <c r="L78" s="145"/>
    </row>
    <row r="79" spans="1:12" x14ac:dyDescent="0.25">
      <c r="A79" s="318" t="s">
        <v>8</v>
      </c>
      <c r="B79" s="319"/>
      <c r="C79" s="320" t="s">
        <v>78</v>
      </c>
      <c r="D79" s="321"/>
      <c r="E79" s="578">
        <v>0.85750000000000004</v>
      </c>
      <c r="F79" s="579"/>
      <c r="G79" s="580"/>
      <c r="H79" s="450">
        <f>(H74+E67+H46+E37+E12)/E79</f>
        <v>3634.0583385579203</v>
      </c>
      <c r="I79" s="450"/>
      <c r="J79" s="450"/>
      <c r="K79" s="145"/>
      <c r="L79" s="145"/>
    </row>
    <row r="80" spans="1:12" x14ac:dyDescent="0.25">
      <c r="A80" s="481" t="s">
        <v>9</v>
      </c>
      <c r="B80" s="481"/>
      <c r="C80" s="482" t="s">
        <v>79</v>
      </c>
      <c r="D80" s="483"/>
      <c r="E80" s="480">
        <v>1.6500000000000001E-2</v>
      </c>
      <c r="F80" s="480"/>
      <c r="G80" s="480"/>
      <c r="H80" s="450">
        <f>E80*D88</f>
        <v>60.446760000000005</v>
      </c>
      <c r="I80" s="450"/>
      <c r="J80" s="450"/>
      <c r="K80" s="145"/>
      <c r="L80" s="145"/>
    </row>
    <row r="81" spans="1:12" x14ac:dyDescent="0.25">
      <c r="A81" s="481" t="s">
        <v>9</v>
      </c>
      <c r="B81" s="481"/>
      <c r="C81" s="482" t="s">
        <v>80</v>
      </c>
      <c r="D81" s="483"/>
      <c r="E81" s="480">
        <v>7.5999999999999998E-2</v>
      </c>
      <c r="F81" s="480"/>
      <c r="G81" s="480"/>
      <c r="H81" s="450">
        <f>E81*D88</f>
        <v>278.42144000000002</v>
      </c>
      <c r="I81" s="450"/>
      <c r="J81" s="450"/>
      <c r="K81" s="145"/>
      <c r="L81" s="145"/>
    </row>
    <row r="82" spans="1:12" x14ac:dyDescent="0.25">
      <c r="A82" s="481" t="s">
        <v>10</v>
      </c>
      <c r="B82" s="481"/>
      <c r="C82" s="482" t="s">
        <v>81</v>
      </c>
      <c r="D82" s="483"/>
      <c r="E82" s="480"/>
      <c r="F82" s="480"/>
      <c r="G82" s="480"/>
      <c r="H82" s="450"/>
      <c r="I82" s="450"/>
      <c r="J82" s="450"/>
      <c r="K82" s="145"/>
      <c r="L82" s="145"/>
    </row>
    <row r="83" spans="1:12" ht="15.75" thickBot="1" x14ac:dyDescent="0.3">
      <c r="A83" s="477" t="s">
        <v>11</v>
      </c>
      <c r="B83" s="477"/>
      <c r="C83" s="473" t="s">
        <v>82</v>
      </c>
      <c r="D83" s="474"/>
      <c r="E83" s="448">
        <v>0.05</v>
      </c>
      <c r="F83" s="448"/>
      <c r="G83" s="448"/>
      <c r="H83" s="449">
        <f>E83*D88</f>
        <v>183.17200000000003</v>
      </c>
      <c r="I83" s="449"/>
      <c r="J83" s="449"/>
      <c r="K83" s="145"/>
      <c r="L83" s="145"/>
    </row>
    <row r="84" spans="1:12" ht="15.75" thickBot="1" x14ac:dyDescent="0.3">
      <c r="A84" s="570" t="s">
        <v>321</v>
      </c>
      <c r="B84" s="571"/>
      <c r="C84" s="571"/>
      <c r="D84" s="571"/>
      <c r="E84" s="571"/>
      <c r="F84" s="571"/>
      <c r="G84" s="571"/>
      <c r="H84" s="547">
        <f>H77+H78+H80+H81+H83</f>
        <v>1051.7920920304991</v>
      </c>
      <c r="I84" s="485"/>
      <c r="J84" s="486"/>
      <c r="K84" s="145"/>
      <c r="L84" s="145"/>
    </row>
    <row r="85" spans="1:12" ht="11.25" customHeight="1" thickBot="1" x14ac:dyDescent="0.3">
      <c r="E85" s="160"/>
      <c r="F85" s="160"/>
      <c r="G85" s="160"/>
      <c r="H85" s="161"/>
      <c r="I85" s="161"/>
      <c r="J85" s="161"/>
      <c r="K85" s="145"/>
      <c r="L85" s="145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722">
        <f>SUM(H84+H74+E67+H46+E37+E12)</f>
        <v>4167.9971173439153</v>
      </c>
      <c r="I86" s="723"/>
      <c r="J86" s="724"/>
      <c r="K86" s="145"/>
      <c r="L86" s="145"/>
    </row>
    <row r="87" spans="1:12" x14ac:dyDescent="0.25">
      <c r="A87" s="145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</row>
    <row r="88" spans="1:12" x14ac:dyDescent="0.25">
      <c r="A88" s="145"/>
      <c r="B88" s="145"/>
      <c r="C88" s="145"/>
      <c r="D88" s="163">
        <v>3663.44</v>
      </c>
      <c r="E88" s="145"/>
      <c r="F88" s="145"/>
      <c r="G88" s="145"/>
      <c r="H88" s="145"/>
      <c r="I88" s="145"/>
      <c r="J88" s="145"/>
      <c r="K88" s="145"/>
      <c r="L88" s="145"/>
    </row>
    <row r="89" spans="1:12" x14ac:dyDescent="0.25">
      <c r="A89" s="145"/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</row>
    <row r="90" spans="1:12" x14ac:dyDescent="0.25">
      <c r="A90" s="145"/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</row>
    <row r="91" spans="1:12" x14ac:dyDescent="0.25">
      <c r="A91" s="145"/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</row>
    <row r="92" spans="1:12" ht="15.75" thickBot="1" x14ac:dyDescent="0.3">
      <c r="A92" s="145"/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</row>
  </sheetData>
  <mergeCells count="230">
    <mergeCell ref="A1:J1"/>
    <mergeCell ref="A2:C2"/>
    <mergeCell ref="D2:J2"/>
    <mergeCell ref="A3:J3"/>
    <mergeCell ref="A84:G84"/>
    <mergeCell ref="A74:G74"/>
    <mergeCell ref="A46:G46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L92"/>
  <sheetViews>
    <sheetView topLeftCell="A70" workbookViewId="0">
      <selection activeCell="H82" sqref="H82:J82"/>
    </sheetView>
  </sheetViews>
  <sheetFormatPr defaultRowHeight="15" x14ac:dyDescent="0.25"/>
  <cols>
    <col min="1" max="1" width="6.7109375" style="146" customWidth="1"/>
    <col min="2" max="2" width="3.28515625" style="146" customWidth="1"/>
    <col min="3" max="3" width="10.42578125" style="134" customWidth="1"/>
    <col min="4" max="4" width="40.7109375" style="134" customWidth="1"/>
    <col min="5" max="7" width="3" style="116" customWidth="1"/>
    <col min="8" max="8" width="4" style="134" customWidth="1"/>
    <col min="9" max="9" width="5.7109375" style="134" hidden="1" customWidth="1"/>
    <col min="10" max="10" width="9.8554687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380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45"/>
      <c r="L5" s="145"/>
    </row>
    <row r="6" spans="1:12" x14ac:dyDescent="0.25">
      <c r="A6" s="123" t="s">
        <v>2</v>
      </c>
      <c r="B6" s="606" t="s">
        <v>1</v>
      </c>
      <c r="C6" s="607"/>
      <c r="D6" s="608"/>
      <c r="E6" s="567">
        <v>1398.79</v>
      </c>
      <c r="F6" s="568"/>
      <c r="G6" s="568"/>
      <c r="H6" s="568"/>
      <c r="I6" s="568"/>
      <c r="J6" s="568"/>
      <c r="K6" s="145"/>
      <c r="L6" s="145"/>
    </row>
    <row r="7" spans="1:12" x14ac:dyDescent="0.25">
      <c r="A7" s="123" t="s">
        <v>7</v>
      </c>
      <c r="B7" s="606" t="s">
        <v>25</v>
      </c>
      <c r="C7" s="607"/>
      <c r="D7" s="608"/>
      <c r="E7" s="741"/>
      <c r="F7" s="742"/>
      <c r="G7" s="742"/>
      <c r="H7" s="742"/>
      <c r="I7" s="742"/>
      <c r="J7" s="743"/>
      <c r="K7" s="145"/>
      <c r="L7" s="145"/>
    </row>
    <row r="8" spans="1:12" x14ac:dyDescent="0.25">
      <c r="A8" s="123" t="s">
        <v>8</v>
      </c>
      <c r="B8" s="606" t="s">
        <v>26</v>
      </c>
      <c r="C8" s="607"/>
      <c r="D8" s="608"/>
      <c r="E8" s="741">
        <f>((((E6/210)*20%)*9)*16)</f>
        <v>191.83405714285715</v>
      </c>
      <c r="F8" s="742"/>
      <c r="G8" s="742"/>
      <c r="H8" s="742"/>
      <c r="I8" s="742"/>
      <c r="J8" s="743"/>
      <c r="K8" s="145"/>
      <c r="L8" s="145"/>
    </row>
    <row r="9" spans="1:12" x14ac:dyDescent="0.25">
      <c r="A9" s="123" t="s">
        <v>9</v>
      </c>
      <c r="B9" s="606" t="s">
        <v>27</v>
      </c>
      <c r="C9" s="607"/>
      <c r="D9" s="608"/>
      <c r="E9" s="741">
        <f>(((E6/210)*20%)*0.14)*16</f>
        <v>2.9840853333333337</v>
      </c>
      <c r="F9" s="742"/>
      <c r="G9" s="742"/>
      <c r="H9" s="742"/>
      <c r="I9" s="742"/>
      <c r="J9" s="743"/>
      <c r="K9" s="145"/>
      <c r="L9" s="145"/>
    </row>
    <row r="10" spans="1:12" x14ac:dyDescent="0.25">
      <c r="A10" s="123" t="s">
        <v>10</v>
      </c>
      <c r="B10" s="606" t="s">
        <v>28</v>
      </c>
      <c r="C10" s="607"/>
      <c r="D10" s="608"/>
      <c r="E10" s="961">
        <f>((E8+E9)/25)*5</f>
        <v>38.963628495238098</v>
      </c>
      <c r="F10" s="961"/>
      <c r="G10" s="961"/>
      <c r="H10" s="961"/>
      <c r="I10" s="961"/>
      <c r="J10" s="961"/>
      <c r="K10" s="145"/>
      <c r="L10" s="145"/>
    </row>
    <row r="11" spans="1:12" ht="30" customHeight="1" thickBot="1" x14ac:dyDescent="0.3">
      <c r="A11" s="125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45"/>
      <c r="L11" s="145"/>
    </row>
    <row r="12" spans="1:12" ht="15.75" thickBot="1" x14ac:dyDescent="0.3">
      <c r="A12" s="458" t="s">
        <v>330</v>
      </c>
      <c r="B12" s="459"/>
      <c r="C12" s="459"/>
      <c r="D12" s="725"/>
      <c r="E12" s="547">
        <f>SUM(E6:J11)</f>
        <v>1632.5717709714284</v>
      </c>
      <c r="F12" s="485"/>
      <c r="G12" s="485"/>
      <c r="H12" s="485"/>
      <c r="I12" s="485"/>
      <c r="J12" s="486"/>
      <c r="K12" s="145"/>
      <c r="L12" s="145"/>
    </row>
    <row r="13" spans="1:12" ht="26.25" customHeight="1" x14ac:dyDescent="0.25">
      <c r="A13" s="551" t="s">
        <v>29</v>
      </c>
      <c r="B13" s="715"/>
      <c r="C13" s="715"/>
      <c r="D13" s="716"/>
      <c r="E13" s="548">
        <f>E12*E30</f>
        <v>600.78641171748575</v>
      </c>
      <c r="F13" s="549"/>
      <c r="G13" s="549"/>
      <c r="H13" s="549"/>
      <c r="I13" s="549"/>
      <c r="J13" s="550"/>
      <c r="K13" s="145"/>
      <c r="L13" s="145"/>
    </row>
    <row r="14" spans="1:12" ht="10.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45"/>
      <c r="L14" s="145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389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3" t="s">
        <v>2</v>
      </c>
      <c r="B17" s="482" t="s">
        <v>34</v>
      </c>
      <c r="C17" s="521"/>
      <c r="D17" s="483"/>
      <c r="E17" s="322">
        <v>8.3299999999999999E-2</v>
      </c>
      <c r="F17" s="323"/>
      <c r="G17" s="324"/>
      <c r="H17" s="450">
        <f>E17*E12</f>
        <v>135.99322852191997</v>
      </c>
      <c r="I17" s="450"/>
      <c r="J17" s="450"/>
      <c r="K17" s="145"/>
      <c r="L17" s="145"/>
    </row>
    <row r="18" spans="1:12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197.54118428754282</v>
      </c>
      <c r="I18" s="450"/>
      <c r="J18" s="450"/>
      <c r="K18" s="145"/>
      <c r="L18" s="145"/>
    </row>
    <row r="19" spans="1:12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333.53441280946276</v>
      </c>
      <c r="I19" s="525"/>
      <c r="J19" s="525"/>
      <c r="K19" s="145"/>
      <c r="L19" s="145"/>
    </row>
    <row r="20" spans="1:12" ht="30.75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127.6671124899657</v>
      </c>
      <c r="I20" s="291"/>
      <c r="J20" s="292"/>
      <c r="K20" s="145"/>
      <c r="L20" s="145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532" t="s">
        <v>2</v>
      </c>
      <c r="B22" s="533"/>
      <c r="C22" s="510" t="s">
        <v>3</v>
      </c>
      <c r="D22" s="511"/>
      <c r="E22" s="603">
        <v>0.2</v>
      </c>
      <c r="F22" s="603"/>
      <c r="G22" s="603"/>
      <c r="H22" s="450">
        <f>E22*(E12+H19)</f>
        <v>393.22123675617826</v>
      </c>
      <c r="I22" s="450"/>
      <c r="J22" s="450"/>
      <c r="K22" s="145"/>
      <c r="L22" s="145"/>
    </row>
    <row r="23" spans="1:12" x14ac:dyDescent="0.25">
      <c r="A23" s="532" t="s">
        <v>7</v>
      </c>
      <c r="B23" s="53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49.152654594522282</v>
      </c>
      <c r="I23" s="450"/>
      <c r="J23" s="450"/>
      <c r="K23" s="145"/>
      <c r="L23" s="145"/>
    </row>
    <row r="24" spans="1:12" x14ac:dyDescent="0.25">
      <c r="A24" s="532" t="s">
        <v>8</v>
      </c>
      <c r="B24" s="533"/>
      <c r="C24" s="512" t="s">
        <v>42</v>
      </c>
      <c r="D24" s="513"/>
      <c r="E24" s="514">
        <v>0.03</v>
      </c>
      <c r="F24" s="514"/>
      <c r="G24" s="514"/>
      <c r="H24" s="450">
        <f>E24*(E12+H19)</f>
        <v>58.983185513426733</v>
      </c>
      <c r="I24" s="450"/>
      <c r="J24" s="450"/>
      <c r="K24" s="145"/>
      <c r="L24" s="145"/>
    </row>
    <row r="25" spans="1:12" x14ac:dyDescent="0.25">
      <c r="A25" s="532" t="s">
        <v>9</v>
      </c>
      <c r="B25" s="53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29.491592756713366</v>
      </c>
      <c r="I25" s="450"/>
      <c r="J25" s="450"/>
      <c r="K25" s="145"/>
      <c r="L25" s="145"/>
    </row>
    <row r="26" spans="1:12" x14ac:dyDescent="0.25">
      <c r="A26" s="532" t="s">
        <v>10</v>
      </c>
      <c r="B26" s="533"/>
      <c r="C26" s="482" t="s">
        <v>44</v>
      </c>
      <c r="D26" s="483"/>
      <c r="E26" s="497">
        <v>0.01</v>
      </c>
      <c r="F26" s="497"/>
      <c r="G26" s="497"/>
      <c r="H26" s="450">
        <f>E26*(E12+H19)</f>
        <v>19.661061837808912</v>
      </c>
      <c r="I26" s="450"/>
      <c r="J26" s="450"/>
      <c r="K26" s="145"/>
      <c r="L26" s="145"/>
    </row>
    <row r="27" spans="1:12" x14ac:dyDescent="0.25">
      <c r="A27" s="532" t="s">
        <v>11</v>
      </c>
      <c r="B27" s="53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11.796637102685347</v>
      </c>
      <c r="I27" s="450"/>
      <c r="J27" s="450"/>
      <c r="K27" s="145"/>
      <c r="L27" s="145"/>
    </row>
    <row r="28" spans="1:12" x14ac:dyDescent="0.25">
      <c r="A28" s="532" t="s">
        <v>39</v>
      </c>
      <c r="B28" s="533"/>
      <c r="C28" s="482" t="s">
        <v>5</v>
      </c>
      <c r="D28" s="483"/>
      <c r="E28" s="497">
        <v>2E-3</v>
      </c>
      <c r="F28" s="497"/>
      <c r="G28" s="497"/>
      <c r="H28" s="450">
        <f>E28*(E12+H19)</f>
        <v>3.9322123675617822</v>
      </c>
      <c r="I28" s="450"/>
      <c r="J28" s="450"/>
      <c r="K28" s="145"/>
      <c r="L28" s="145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157.2884947024713</v>
      </c>
      <c r="I29" s="450"/>
      <c r="J29" s="450"/>
      <c r="K29" s="145"/>
      <c r="L29" s="145"/>
    </row>
    <row r="30" spans="1:12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723.52707563136801</v>
      </c>
      <c r="I30" s="592"/>
      <c r="J30" s="592"/>
      <c r="K30" s="145"/>
      <c r="L30" s="145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532" t="s">
        <v>2</v>
      </c>
      <c r="B32" s="533"/>
      <c r="C32" s="510" t="s">
        <v>46</v>
      </c>
      <c r="D32" s="511"/>
      <c r="E32" s="603"/>
      <c r="F32" s="603"/>
      <c r="G32" s="603"/>
      <c r="H32" s="450">
        <f>(3.9*2*16)-6%*E6</f>
        <v>40.872600000000006</v>
      </c>
      <c r="I32" s="450"/>
      <c r="J32" s="450"/>
      <c r="K32" s="145"/>
      <c r="L32" s="145"/>
    </row>
    <row r="33" spans="1:12" x14ac:dyDescent="0.25">
      <c r="A33" s="532" t="s">
        <v>7</v>
      </c>
      <c r="B33" s="533"/>
      <c r="C33" s="482" t="s">
        <v>47</v>
      </c>
      <c r="D33" s="483"/>
      <c r="E33" s="497"/>
      <c r="F33" s="497"/>
      <c r="G33" s="497"/>
      <c r="H33" s="450">
        <f>21.63*22-20%</f>
        <v>475.65999999999997</v>
      </c>
      <c r="I33" s="450"/>
      <c r="J33" s="450"/>
      <c r="K33" s="145"/>
      <c r="L33" s="145"/>
    </row>
    <row r="34" spans="1:12" x14ac:dyDescent="0.25">
      <c r="A34" s="532" t="s">
        <v>8</v>
      </c>
      <c r="B34" s="53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45"/>
      <c r="L34" s="145"/>
    </row>
    <row r="35" spans="1:12" x14ac:dyDescent="0.25">
      <c r="A35" s="532" t="s">
        <v>9</v>
      </c>
      <c r="B35" s="533"/>
      <c r="C35" s="478" t="s">
        <v>28</v>
      </c>
      <c r="D35" s="479"/>
      <c r="E35" s="497"/>
      <c r="F35" s="497"/>
      <c r="G35" s="497"/>
      <c r="H35" s="450">
        <v>25.95</v>
      </c>
      <c r="I35" s="450"/>
      <c r="J35" s="450"/>
      <c r="K35" s="145"/>
      <c r="L35" s="145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579.0526000000001</v>
      </c>
      <c r="I36" s="451"/>
      <c r="J36" s="451"/>
      <c r="K36" s="145"/>
      <c r="L36" s="145"/>
    </row>
    <row r="37" spans="1:12" ht="15.75" thickBot="1" x14ac:dyDescent="0.3">
      <c r="A37" s="458" t="s">
        <v>72</v>
      </c>
      <c r="B37" s="459"/>
      <c r="C37" s="459"/>
      <c r="D37" s="725"/>
      <c r="E37" s="587">
        <f>H19+H30+H36</f>
        <v>1636.114088440831</v>
      </c>
      <c r="F37" s="498"/>
      <c r="G37" s="498"/>
      <c r="H37" s="498"/>
      <c r="I37" s="498"/>
      <c r="J37" s="499"/>
      <c r="K37" s="145"/>
      <c r="L37" s="145"/>
    </row>
    <row r="38" spans="1:12" ht="11.2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45"/>
      <c r="L38" s="145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954" t="s">
        <v>2</v>
      </c>
      <c r="B40" s="955"/>
      <c r="C40" s="452" t="s">
        <v>51</v>
      </c>
      <c r="D40" s="453"/>
      <c r="E40" s="128"/>
      <c r="F40" s="129"/>
      <c r="G40" s="130"/>
      <c r="H40" s="456">
        <f>E12/12*5%</f>
        <v>6.8023823790476188</v>
      </c>
      <c r="I40" s="457"/>
      <c r="J40" s="453"/>
      <c r="K40" s="145"/>
      <c r="L40" s="145"/>
    </row>
    <row r="41" spans="1:12" x14ac:dyDescent="0.25">
      <c r="A41" s="954" t="s">
        <v>7</v>
      </c>
      <c r="B41" s="955"/>
      <c r="C41" s="452" t="s">
        <v>52</v>
      </c>
      <c r="D41" s="453"/>
      <c r="E41" s="128"/>
      <c r="F41" s="129"/>
      <c r="G41" s="130"/>
      <c r="H41" s="456">
        <f>H40*8%</f>
        <v>0.54419059032380956</v>
      </c>
      <c r="I41" s="457"/>
      <c r="J41" s="453"/>
      <c r="K41" s="145"/>
      <c r="L41" s="145"/>
    </row>
    <row r="42" spans="1:12" ht="28.5" customHeight="1" x14ac:dyDescent="0.25">
      <c r="A42" s="954" t="s">
        <v>8</v>
      </c>
      <c r="B42" s="955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45"/>
      <c r="L42" s="145"/>
    </row>
    <row r="43" spans="1:12" x14ac:dyDescent="0.25">
      <c r="A43" s="956" t="s">
        <v>9</v>
      </c>
      <c r="B43" s="956"/>
      <c r="C43" s="482" t="s">
        <v>54</v>
      </c>
      <c r="D43" s="483"/>
      <c r="E43" s="497"/>
      <c r="F43" s="497"/>
      <c r="G43" s="497"/>
      <c r="H43" s="450">
        <f>E12/30/12*7*100%</f>
        <v>31.744451102222218</v>
      </c>
      <c r="I43" s="450"/>
      <c r="J43" s="450"/>
      <c r="K43" s="145"/>
      <c r="L43" s="145"/>
    </row>
    <row r="44" spans="1:12" ht="30" customHeight="1" x14ac:dyDescent="0.25">
      <c r="A44" s="956" t="s">
        <v>10</v>
      </c>
      <c r="B44" s="956"/>
      <c r="C44" s="478" t="s">
        <v>83</v>
      </c>
      <c r="D44" s="479"/>
      <c r="E44" s="497"/>
      <c r="F44" s="497"/>
      <c r="G44" s="497"/>
      <c r="H44" s="450">
        <f>H43*39.8%</f>
        <v>12.634291538684442</v>
      </c>
      <c r="I44" s="450"/>
      <c r="J44" s="450"/>
      <c r="K44" s="145"/>
      <c r="L44" s="145"/>
    </row>
    <row r="45" spans="1:12" ht="29.25" customHeight="1" thickBot="1" x14ac:dyDescent="0.3">
      <c r="A45" s="958" t="s">
        <v>11</v>
      </c>
      <c r="B45" s="959"/>
      <c r="C45" s="834" t="s">
        <v>53</v>
      </c>
      <c r="D45" s="835"/>
      <c r="E45" s="836"/>
      <c r="F45" s="837"/>
      <c r="G45" s="838"/>
      <c r="H45" s="470">
        <f>E12*5%</f>
        <v>81.628588548571429</v>
      </c>
      <c r="I45" s="471"/>
      <c r="J45" s="472"/>
      <c r="K45" s="145"/>
      <c r="L45" s="145"/>
    </row>
    <row r="46" spans="1:12" ht="15.75" thickBot="1" x14ac:dyDescent="0.3">
      <c r="A46" s="570" t="s">
        <v>333</v>
      </c>
      <c r="B46" s="571"/>
      <c r="C46" s="571"/>
      <c r="D46" s="571"/>
      <c r="E46" s="571"/>
      <c r="F46" s="571"/>
      <c r="G46" s="572"/>
      <c r="H46" s="547">
        <f>SUM(H40:J45)</f>
        <v>133.3539041588495</v>
      </c>
      <c r="I46" s="485"/>
      <c r="J46" s="486"/>
      <c r="K46" s="145"/>
      <c r="L46" s="145"/>
    </row>
    <row r="47" spans="1:12" ht="9" customHeight="1" thickBot="1" x14ac:dyDescent="0.3">
      <c r="E47" s="131"/>
      <c r="F47" s="131"/>
      <c r="G47" s="131"/>
      <c r="H47" s="161"/>
      <c r="I47" s="161"/>
      <c r="J47" s="161"/>
      <c r="K47" s="145"/>
      <c r="L47" s="145"/>
    </row>
    <row r="48" spans="1:12" ht="33" customHeight="1" thickBot="1" x14ac:dyDescent="0.3">
      <c r="A48" s="494" t="s">
        <v>317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954" t="s">
        <v>2</v>
      </c>
      <c r="B49" s="955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45"/>
      <c r="L49" s="145"/>
    </row>
    <row r="50" spans="1:12" x14ac:dyDescent="0.25">
      <c r="A50" s="954" t="s">
        <v>7</v>
      </c>
      <c r="B50" s="955"/>
      <c r="C50" s="452" t="s">
        <v>57</v>
      </c>
      <c r="D50" s="453"/>
      <c r="E50" s="128"/>
      <c r="F50" s="129"/>
      <c r="G50" s="130"/>
      <c r="H50" s="456">
        <f>E12/30/12</f>
        <v>4.5349215860317456</v>
      </c>
      <c r="I50" s="457"/>
      <c r="J50" s="453"/>
      <c r="K50" s="145"/>
      <c r="L50" s="145"/>
    </row>
    <row r="51" spans="1:12" x14ac:dyDescent="0.25">
      <c r="A51" s="954" t="s">
        <v>8</v>
      </c>
      <c r="B51" s="955"/>
      <c r="C51" s="320" t="s">
        <v>58</v>
      </c>
      <c r="D51" s="321"/>
      <c r="E51" s="322"/>
      <c r="F51" s="323"/>
      <c r="G51" s="324"/>
      <c r="H51" s="450">
        <f>E12/30/12*5*1.5%</f>
        <v>0.34011911895238089</v>
      </c>
      <c r="I51" s="450"/>
      <c r="J51" s="450"/>
      <c r="K51" s="145"/>
      <c r="L51" s="145"/>
    </row>
    <row r="52" spans="1:12" x14ac:dyDescent="0.25">
      <c r="A52" s="956" t="s">
        <v>9</v>
      </c>
      <c r="B52" s="956"/>
      <c r="C52" s="284" t="s">
        <v>59</v>
      </c>
      <c r="D52" s="286"/>
      <c r="E52" s="497"/>
      <c r="F52" s="497"/>
      <c r="G52" s="497"/>
      <c r="H52" s="450">
        <f>E12/30/12*15*8%</f>
        <v>5.4419059032380952</v>
      </c>
      <c r="I52" s="450"/>
      <c r="J52" s="450"/>
      <c r="K52" s="145"/>
      <c r="L52" s="145"/>
    </row>
    <row r="53" spans="1:12" x14ac:dyDescent="0.25">
      <c r="A53" s="956" t="s">
        <v>10</v>
      </c>
      <c r="B53" s="956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45"/>
      <c r="L53" s="145"/>
    </row>
    <row r="54" spans="1:12" x14ac:dyDescent="0.25">
      <c r="A54" s="956" t="s">
        <v>11</v>
      </c>
      <c r="B54" s="956"/>
      <c r="C54" s="478" t="s">
        <v>61</v>
      </c>
      <c r="D54" s="479"/>
      <c r="E54" s="497"/>
      <c r="F54" s="497"/>
      <c r="G54" s="497"/>
      <c r="H54" s="450">
        <f>E12/30/12*5*40%</f>
        <v>9.0698431720634911</v>
      </c>
      <c r="I54" s="450"/>
      <c r="J54" s="450"/>
      <c r="K54" s="145"/>
      <c r="L54" s="145"/>
    </row>
    <row r="55" spans="1:12" ht="28.5" customHeight="1" x14ac:dyDescent="0.25">
      <c r="A55" s="956" t="s">
        <v>39</v>
      </c>
      <c r="B55" s="956"/>
      <c r="C55" s="478" t="s">
        <v>62</v>
      </c>
      <c r="D55" s="479"/>
      <c r="E55" s="497"/>
      <c r="F55" s="497"/>
      <c r="G55" s="497"/>
      <c r="H55" s="450">
        <f>SUM(H49:J54)*39.8%</f>
        <v>7.7176281942203797</v>
      </c>
      <c r="I55" s="450"/>
      <c r="J55" s="450"/>
      <c r="K55" s="145"/>
      <c r="L55" s="145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27.108653807839424</v>
      </c>
      <c r="I56" s="592"/>
      <c r="J56" s="592"/>
      <c r="K56" s="145"/>
      <c r="L56" s="145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0" customHeight="1" x14ac:dyDescent="0.25">
      <c r="A58" s="954" t="s">
        <v>2</v>
      </c>
      <c r="B58" s="955"/>
      <c r="C58" s="454" t="s">
        <v>64</v>
      </c>
      <c r="D58" s="455"/>
      <c r="E58" s="128"/>
      <c r="F58" s="129"/>
      <c r="G58" s="130"/>
      <c r="H58" s="456">
        <f>((((E12+(E12/3))*0.3333)/12)*2%)</f>
        <v>1.2091914916995046</v>
      </c>
      <c r="I58" s="457"/>
      <c r="J58" s="453"/>
      <c r="K58" s="145"/>
      <c r="L58" s="145"/>
    </row>
    <row r="59" spans="1:12" ht="45" customHeight="1" x14ac:dyDescent="0.25">
      <c r="A59" s="954" t="s">
        <v>7</v>
      </c>
      <c r="B59" s="955"/>
      <c r="C59" s="454" t="s">
        <v>65</v>
      </c>
      <c r="D59" s="455"/>
      <c r="E59" s="128"/>
      <c r="F59" s="129"/>
      <c r="G59" s="130"/>
      <c r="H59" s="456">
        <f>H58*39.8%</f>
        <v>0.48125821369640276</v>
      </c>
      <c r="I59" s="457"/>
      <c r="J59" s="453"/>
      <c r="K59" s="145"/>
      <c r="L59" s="145"/>
    </row>
    <row r="60" spans="1:12" ht="45.75" customHeight="1" x14ac:dyDescent="0.25">
      <c r="A60" s="954" t="s">
        <v>8</v>
      </c>
      <c r="B60" s="955"/>
      <c r="C60" s="454" t="s">
        <v>66</v>
      </c>
      <c r="D60" s="455"/>
      <c r="E60" s="322"/>
      <c r="F60" s="323"/>
      <c r="G60" s="324"/>
      <c r="H60" s="450">
        <f>(((E12+H17)*0.333)*2%)*39.8%</f>
        <v>4.6878998728570282</v>
      </c>
      <c r="I60" s="450"/>
      <c r="J60" s="450"/>
      <c r="K60" s="145"/>
      <c r="L60" s="145"/>
    </row>
    <row r="61" spans="1:12" x14ac:dyDescent="0.25">
      <c r="A61" s="956" t="s">
        <v>9</v>
      </c>
      <c r="B61" s="956"/>
      <c r="C61" s="482" t="s">
        <v>67</v>
      </c>
      <c r="D61" s="483"/>
      <c r="E61" s="497"/>
      <c r="F61" s="497"/>
      <c r="G61" s="497"/>
      <c r="H61" s="450"/>
      <c r="I61" s="450"/>
      <c r="J61" s="450"/>
      <c r="K61" s="145"/>
      <c r="L61" s="145"/>
    </row>
    <row r="62" spans="1:12" ht="16.5" customHeight="1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6.3783495782529354</v>
      </c>
      <c r="I62" s="592"/>
      <c r="J62" s="592"/>
      <c r="K62" s="145"/>
      <c r="L62" s="145"/>
    </row>
    <row r="63" spans="1:12" ht="30" customHeight="1" thickBot="1" x14ac:dyDescent="0.3">
      <c r="A63" s="507" t="s">
        <v>427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0" customHeight="1" x14ac:dyDescent="0.25">
      <c r="A64" s="954" t="s">
        <v>2</v>
      </c>
      <c r="B64" s="955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45"/>
      <c r="L64" s="145"/>
    </row>
    <row r="65" spans="1:12" ht="31.5" customHeight="1" x14ac:dyDescent="0.25">
      <c r="A65" s="954" t="s">
        <v>7</v>
      </c>
      <c r="B65" s="955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45"/>
      <c r="L65" s="145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45"/>
      <c r="L66" s="145"/>
    </row>
    <row r="67" spans="1:12" ht="15.75" thickBot="1" x14ac:dyDescent="0.3">
      <c r="A67" s="458" t="s">
        <v>71</v>
      </c>
      <c r="B67" s="459"/>
      <c r="C67" s="459"/>
      <c r="D67" s="725"/>
      <c r="E67" s="587">
        <f>H66+H62+H56</f>
        <v>33.487128675784362</v>
      </c>
      <c r="F67" s="498"/>
      <c r="G67" s="498"/>
      <c r="H67" s="498"/>
      <c r="I67" s="498"/>
      <c r="J67" s="499"/>
      <c r="K67" s="145"/>
      <c r="L67" s="145"/>
    </row>
    <row r="68" spans="1:12" ht="11.2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45"/>
      <c r="L68" s="145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954" t="s">
        <v>2</v>
      </c>
      <c r="B70" s="955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45"/>
      <c r="L70" s="145"/>
    </row>
    <row r="71" spans="1:12" x14ac:dyDescent="0.25">
      <c r="A71" s="954" t="s">
        <v>7</v>
      </c>
      <c r="B71" s="955"/>
      <c r="C71" s="452" t="s">
        <v>75</v>
      </c>
      <c r="D71" s="453"/>
      <c r="E71" s="128"/>
      <c r="F71" s="129"/>
      <c r="G71" s="130"/>
      <c r="H71" s="456"/>
      <c r="I71" s="457"/>
      <c r="J71" s="453"/>
      <c r="K71" s="145"/>
      <c r="L71" s="145"/>
    </row>
    <row r="72" spans="1:12" x14ac:dyDescent="0.25">
      <c r="A72" s="954" t="s">
        <v>8</v>
      </c>
      <c r="B72" s="955"/>
      <c r="C72" s="320" t="s">
        <v>76</v>
      </c>
      <c r="D72" s="321"/>
      <c r="E72" s="322"/>
      <c r="F72" s="323"/>
      <c r="G72" s="324"/>
      <c r="H72" s="450">
        <v>25</v>
      </c>
      <c r="I72" s="450"/>
      <c r="J72" s="450"/>
      <c r="K72" s="145"/>
      <c r="L72" s="145"/>
    </row>
    <row r="73" spans="1:12" ht="15.75" thickBot="1" x14ac:dyDescent="0.3">
      <c r="A73" s="957" t="s">
        <v>9</v>
      </c>
      <c r="B73" s="957"/>
      <c r="C73" s="473" t="s">
        <v>28</v>
      </c>
      <c r="D73" s="474"/>
      <c r="E73" s="842"/>
      <c r="F73" s="842"/>
      <c r="G73" s="842"/>
      <c r="H73" s="449">
        <v>4.5</v>
      </c>
      <c r="I73" s="449"/>
      <c r="J73" s="449"/>
      <c r="K73" s="145"/>
      <c r="L73" s="145"/>
    </row>
    <row r="74" spans="1:12" ht="15.75" thickBot="1" x14ac:dyDescent="0.3">
      <c r="A74" s="570" t="s">
        <v>320</v>
      </c>
      <c r="B74" s="571"/>
      <c r="C74" s="571"/>
      <c r="D74" s="571"/>
      <c r="E74" s="571"/>
      <c r="F74" s="571"/>
      <c r="G74" s="571"/>
      <c r="H74" s="547">
        <f>SUM(H70:J73)</f>
        <v>229.5</v>
      </c>
      <c r="I74" s="485"/>
      <c r="J74" s="486"/>
      <c r="K74" s="145"/>
      <c r="L74" s="145"/>
    </row>
    <row r="75" spans="1:12" ht="9" customHeight="1" thickBot="1" x14ac:dyDescent="0.3">
      <c r="E75" s="131"/>
      <c r="F75" s="131"/>
      <c r="G75" s="131"/>
      <c r="H75" s="161"/>
      <c r="I75" s="161"/>
      <c r="J75" s="161"/>
      <c r="K75" s="145"/>
      <c r="L75" s="145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954" t="s">
        <v>2</v>
      </c>
      <c r="B77" s="955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256.55188245728255</v>
      </c>
      <c r="I77" s="457"/>
      <c r="J77" s="453"/>
      <c r="K77" s="145"/>
      <c r="L77" s="145"/>
    </row>
    <row r="78" spans="1:12" x14ac:dyDescent="0.25">
      <c r="A78" s="954" t="s">
        <v>7</v>
      </c>
      <c r="B78" s="955"/>
      <c r="C78" s="452" t="s">
        <v>12</v>
      </c>
      <c r="D78" s="453"/>
      <c r="E78" s="843">
        <v>9.9999049397341402E-2</v>
      </c>
      <c r="F78" s="840"/>
      <c r="G78" s="841"/>
      <c r="H78" s="456">
        <f>E78*(H74+E67+H46+E37+E12)</f>
        <v>366.49920524038168</v>
      </c>
      <c r="I78" s="457"/>
      <c r="J78" s="453"/>
      <c r="K78" s="145"/>
      <c r="L78" s="145"/>
    </row>
    <row r="79" spans="1:12" x14ac:dyDescent="0.25">
      <c r="A79" s="954" t="s">
        <v>8</v>
      </c>
      <c r="B79" s="955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4274.0838393549775</v>
      </c>
      <c r="I79" s="450"/>
      <c r="J79" s="450"/>
      <c r="K79" s="145"/>
      <c r="L79" s="145"/>
    </row>
    <row r="80" spans="1:12" x14ac:dyDescent="0.25">
      <c r="A80" s="956" t="s">
        <v>9</v>
      </c>
      <c r="B80" s="956"/>
      <c r="C80" s="482" t="s">
        <v>79</v>
      </c>
      <c r="D80" s="483"/>
      <c r="E80" s="497">
        <v>1.6500000000000001E-2</v>
      </c>
      <c r="F80" s="497"/>
      <c r="G80" s="497"/>
      <c r="H80" s="450">
        <f>E80*D88</f>
        <v>69.766125000000002</v>
      </c>
      <c r="I80" s="450"/>
      <c r="J80" s="450"/>
      <c r="K80" s="145"/>
      <c r="L80" s="145"/>
    </row>
    <row r="81" spans="1:12" x14ac:dyDescent="0.25">
      <c r="A81" s="956" t="s">
        <v>9</v>
      </c>
      <c r="B81" s="956"/>
      <c r="C81" s="482" t="s">
        <v>80</v>
      </c>
      <c r="D81" s="483"/>
      <c r="E81" s="497">
        <v>7.5999999999999998E-2</v>
      </c>
      <c r="F81" s="497"/>
      <c r="G81" s="497"/>
      <c r="H81" s="450">
        <f>E81*D88</f>
        <v>321.34699999999998</v>
      </c>
      <c r="I81" s="450"/>
      <c r="J81" s="450"/>
      <c r="K81" s="145"/>
      <c r="L81" s="145"/>
    </row>
    <row r="82" spans="1:12" x14ac:dyDescent="0.25">
      <c r="A82" s="956" t="s">
        <v>10</v>
      </c>
      <c r="B82" s="956"/>
      <c r="C82" s="482" t="s">
        <v>81</v>
      </c>
      <c r="D82" s="483"/>
      <c r="E82" s="497"/>
      <c r="F82" s="497"/>
      <c r="G82" s="497"/>
      <c r="H82" s="450"/>
      <c r="I82" s="450"/>
      <c r="J82" s="450"/>
      <c r="K82" s="145"/>
      <c r="L82" s="145"/>
    </row>
    <row r="83" spans="1:12" ht="15.75" thickBot="1" x14ac:dyDescent="0.3">
      <c r="A83" s="957" t="s">
        <v>11</v>
      </c>
      <c r="B83" s="957"/>
      <c r="C83" s="473" t="s">
        <v>82</v>
      </c>
      <c r="D83" s="474"/>
      <c r="E83" s="842">
        <v>0.05</v>
      </c>
      <c r="F83" s="842"/>
      <c r="G83" s="842"/>
      <c r="H83" s="449">
        <f>E83*D88</f>
        <v>211.41250000000002</v>
      </c>
      <c r="I83" s="449"/>
      <c r="J83" s="449"/>
      <c r="K83" s="145"/>
      <c r="L83" s="145"/>
    </row>
    <row r="84" spans="1:12" ht="15.75" thickBot="1" x14ac:dyDescent="0.3">
      <c r="A84" s="570" t="s">
        <v>321</v>
      </c>
      <c r="B84" s="571"/>
      <c r="C84" s="571"/>
      <c r="D84" s="571"/>
      <c r="E84" s="571"/>
      <c r="F84" s="571"/>
      <c r="G84" s="571"/>
      <c r="H84" s="547">
        <f>H77+H78+H80+H81+H83</f>
        <v>1225.5767126976643</v>
      </c>
      <c r="I84" s="485"/>
      <c r="J84" s="486"/>
      <c r="K84" s="145"/>
      <c r="L84" s="145"/>
    </row>
    <row r="85" spans="1:12" ht="11.25" customHeight="1" thickBot="1" x14ac:dyDescent="0.3">
      <c r="E85" s="131"/>
      <c r="F85" s="131"/>
      <c r="G85" s="131"/>
      <c r="H85" s="161"/>
      <c r="I85" s="161"/>
      <c r="J85" s="161"/>
      <c r="K85" s="145"/>
      <c r="L85" s="145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722">
        <f>SUM(H84+H74+E67+H46+E37+E12)</f>
        <v>4890.6036049445574</v>
      </c>
      <c r="I86" s="723"/>
      <c r="J86" s="724"/>
      <c r="K86" s="145"/>
      <c r="L86" s="145"/>
    </row>
    <row r="87" spans="1:12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  <c r="K87" s="145"/>
      <c r="L87" s="145"/>
    </row>
    <row r="88" spans="1:12" x14ac:dyDescent="0.25">
      <c r="A88" s="145"/>
      <c r="B88" s="145"/>
      <c r="C88" s="145"/>
      <c r="D88" s="163">
        <v>4228.25</v>
      </c>
      <c r="E88" s="133"/>
      <c r="F88" s="133"/>
      <c r="G88" s="133"/>
      <c r="H88" s="145"/>
      <c r="I88" s="145"/>
      <c r="J88" s="145"/>
      <c r="K88" s="145"/>
      <c r="L88" s="145"/>
    </row>
    <row r="89" spans="1:12" x14ac:dyDescent="0.25">
      <c r="A89" s="145"/>
      <c r="B89" s="145"/>
      <c r="C89" s="145"/>
      <c r="D89" s="145"/>
      <c r="E89" s="133"/>
      <c r="F89" s="133"/>
      <c r="G89" s="133"/>
      <c r="H89" s="145"/>
      <c r="I89" s="145"/>
      <c r="J89" s="145"/>
      <c r="K89" s="145"/>
      <c r="L89" s="145"/>
    </row>
    <row r="90" spans="1:12" x14ac:dyDescent="0.25">
      <c r="A90" s="145"/>
      <c r="B90" s="145"/>
      <c r="C90" s="145"/>
      <c r="D90" s="145"/>
      <c r="E90" s="133"/>
      <c r="F90" s="133"/>
      <c r="G90" s="133"/>
      <c r="H90" s="145"/>
      <c r="I90" s="145"/>
      <c r="J90" s="145"/>
      <c r="K90" s="145"/>
      <c r="L90" s="145"/>
    </row>
    <row r="91" spans="1:12" x14ac:dyDescent="0.25">
      <c r="A91" s="145"/>
      <c r="B91" s="145"/>
      <c r="C91" s="145"/>
      <c r="D91" s="145"/>
      <c r="E91" s="133"/>
      <c r="F91" s="133"/>
      <c r="G91" s="133"/>
      <c r="H91" s="145"/>
      <c r="I91" s="145"/>
      <c r="J91" s="145"/>
      <c r="K91" s="145"/>
      <c r="L91" s="145"/>
    </row>
    <row r="92" spans="1:12" ht="15.75" thickBot="1" x14ac:dyDescent="0.3">
      <c r="A92" s="145"/>
      <c r="B92" s="145"/>
      <c r="C92" s="145"/>
      <c r="D92" s="145"/>
      <c r="E92" s="133"/>
      <c r="F92" s="133"/>
      <c r="G92" s="133"/>
      <c r="H92" s="145"/>
      <c r="I92" s="145"/>
      <c r="J92" s="145"/>
      <c r="K92" s="145"/>
      <c r="L92" s="145"/>
    </row>
  </sheetData>
  <mergeCells count="230">
    <mergeCell ref="A1:J1"/>
    <mergeCell ref="A46:G46"/>
    <mergeCell ref="A74:G74"/>
    <mergeCell ref="A84:G84"/>
    <mergeCell ref="A2:C2"/>
    <mergeCell ref="D2:J2"/>
    <mergeCell ref="A3:J3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49995422223578601"/>
  </sheetPr>
  <dimension ref="A1:O88"/>
  <sheetViews>
    <sheetView topLeftCell="A67" workbookViewId="0">
      <selection activeCell="M79" sqref="M79"/>
    </sheetView>
  </sheetViews>
  <sheetFormatPr defaultRowHeight="15" x14ac:dyDescent="0.25"/>
  <cols>
    <col min="1" max="1" width="6.7109375" style="146" customWidth="1"/>
    <col min="2" max="2" width="3" style="146" customWidth="1"/>
    <col min="3" max="3" width="14.5703125" style="134" customWidth="1"/>
    <col min="4" max="4" width="36.85546875" style="134" customWidth="1"/>
    <col min="5" max="7" width="3.140625" style="116" customWidth="1"/>
    <col min="8" max="8" width="3.7109375" style="134" customWidth="1"/>
    <col min="9" max="9" width="1.57031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381</v>
      </c>
      <c r="E2" s="738"/>
      <c r="F2" s="738"/>
      <c r="G2" s="738"/>
      <c r="H2" s="738"/>
      <c r="I2" s="738"/>
      <c r="J2" s="739"/>
      <c r="K2" s="136"/>
    </row>
    <row r="3" spans="1:15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33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66">
        <v>4314.76</v>
      </c>
      <c r="F6" s="876"/>
      <c r="G6" s="876"/>
      <c r="H6" s="876"/>
      <c r="I6" s="876"/>
      <c r="J6" s="876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32"/>
      <c r="F7" s="933"/>
      <c r="G7" s="933"/>
      <c r="H7" s="933"/>
      <c r="I7" s="933"/>
      <c r="J7" s="934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32"/>
      <c r="F8" s="933"/>
      <c r="G8" s="933"/>
      <c r="H8" s="933"/>
      <c r="I8" s="933"/>
      <c r="J8" s="934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32"/>
      <c r="F9" s="933"/>
      <c r="G9" s="933"/>
      <c r="H9" s="933"/>
      <c r="I9" s="933"/>
      <c r="J9" s="934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35"/>
      <c r="F10" s="935"/>
      <c r="G10" s="935"/>
      <c r="H10" s="935"/>
      <c r="I10" s="935"/>
      <c r="J10" s="935"/>
      <c r="K10" s="145"/>
      <c r="L10" s="145"/>
      <c r="M10" s="145"/>
      <c r="N10" s="145"/>
      <c r="O10" s="145"/>
    </row>
    <row r="11" spans="1:15" ht="29.25" customHeight="1" thickBot="1" x14ac:dyDescent="0.3">
      <c r="A11" s="141" t="s">
        <v>11</v>
      </c>
      <c r="B11" s="609" t="s">
        <v>92</v>
      </c>
      <c r="C11" s="610"/>
      <c r="D11" s="611"/>
      <c r="E11" s="893"/>
      <c r="F11" s="893"/>
      <c r="G11" s="893"/>
      <c r="H11" s="893"/>
      <c r="I11" s="893"/>
      <c r="J11" s="893"/>
      <c r="K11" s="145"/>
      <c r="L11" s="145"/>
      <c r="M11" s="145"/>
      <c r="N11" s="145"/>
      <c r="O11" s="145"/>
    </row>
    <row r="12" spans="1:15" ht="15.75" thickBot="1" x14ac:dyDescent="0.3">
      <c r="A12" s="882" t="s">
        <v>330</v>
      </c>
      <c r="B12" s="883"/>
      <c r="C12" s="883"/>
      <c r="D12" s="947"/>
      <c r="E12" s="894">
        <f>SUM(E6:J11)</f>
        <v>4314.76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7.75" customHeight="1" x14ac:dyDescent="0.25">
      <c r="A13" s="551" t="s">
        <v>29</v>
      </c>
      <c r="B13" s="715"/>
      <c r="C13" s="715"/>
      <c r="D13" s="716"/>
      <c r="E13" s="926">
        <f>E12*E30</f>
        <v>1587.8316800000002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9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370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359.41950800000001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522.08596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881.50546800000006</v>
      </c>
      <c r="I19" s="921"/>
      <c r="J19" s="921"/>
      <c r="K19" s="145"/>
      <c r="L19" s="145"/>
      <c r="M19" s="145"/>
      <c r="N19" s="145"/>
      <c r="O19" s="145"/>
    </row>
    <row r="20" spans="1:15" ht="26.2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337.41423200000003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1039.2530936000001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129.90663670000001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155.88796404000001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77.943982020000007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51.962654680000007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31.177592808000004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10.392530936000002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415.70123744000006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1912.2256922240003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v>0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>
        <v>0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/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0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25"/>
      <c r="E37" s="938">
        <f>H19+H30+H36</f>
        <v>2793.7311602240006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0.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17.978166666666667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1.4382533333333334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83.89811111111112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33.391448222222223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215.73800000000003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333</v>
      </c>
      <c r="B46" s="508"/>
      <c r="C46" s="508"/>
      <c r="D46" s="508"/>
      <c r="E46" s="508"/>
      <c r="F46" s="508"/>
      <c r="G46" s="509"/>
      <c r="H46" s="894">
        <f>SUM(H40:J45)</f>
        <v>352.44397933333335</v>
      </c>
      <c r="I46" s="895"/>
      <c r="J46" s="896"/>
      <c r="K46" s="145"/>
      <c r="L46" s="145"/>
      <c r="M46" s="145"/>
      <c r="N46" s="145"/>
      <c r="O46" s="145"/>
    </row>
    <row r="47" spans="1:15" ht="9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371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11.985444444444445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0.89890833333333342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14.382533333333333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23.970888888888894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20.394320311666668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71.636331145000014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3.1957989066666666</v>
      </c>
      <c r="I58" s="871"/>
      <c r="J58" s="455"/>
      <c r="K58" s="145"/>
      <c r="L58" s="145"/>
      <c r="M58" s="145"/>
      <c r="N58" s="145"/>
      <c r="O58" s="145"/>
    </row>
    <row r="59" spans="1:15" ht="47.2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1.2719279648533333</v>
      </c>
      <c r="I59" s="871"/>
      <c r="J59" s="455"/>
      <c r="K59" s="145"/>
      <c r="L59" s="145"/>
      <c r="M59" s="145"/>
      <c r="N59" s="145"/>
      <c r="O59" s="145"/>
    </row>
    <row r="60" spans="1:15" ht="4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12.38975413826544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16.857481009785438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25"/>
      <c r="E67" s="938">
        <f>H66+H62+H56</f>
        <v>88.493937444477453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0.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90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v>150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/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v>25.95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8"/>
      <c r="H74" s="894">
        <f>SUM(H70:J73)</f>
        <v>265.95</v>
      </c>
      <c r="I74" s="895"/>
      <c r="J74" s="896"/>
      <c r="K74" s="145"/>
      <c r="L74" s="145"/>
      <c r="M74" s="145"/>
      <c r="N74" s="145"/>
      <c r="O74" s="145"/>
    </row>
    <row r="75" spans="1:15" ht="9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547.07653539012688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592.21274332330188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9114.1446962120244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57.696870000000004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265.75528000000003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174.83900000000003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8"/>
      <c r="H84" s="894">
        <f>H77+H78+H80+H81+H83</f>
        <v>1637.5804287134288</v>
      </c>
      <c r="I84" s="895"/>
      <c r="J84" s="896"/>
    </row>
    <row r="85" spans="1:15" ht="10.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0"/>
      <c r="H86" s="941">
        <f>SUM(H84+H74+E67+H46+E37+E12)</f>
        <v>9452.9595057152401</v>
      </c>
      <c r="I86" s="942"/>
      <c r="J86" s="943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3496.78</v>
      </c>
    </row>
  </sheetData>
  <mergeCells count="230">
    <mergeCell ref="A1:J1"/>
    <mergeCell ref="A46:G46"/>
    <mergeCell ref="A84:G84"/>
    <mergeCell ref="A74:G74"/>
    <mergeCell ref="A80:B80"/>
    <mergeCell ref="C80:D80"/>
    <mergeCell ref="E80:G80"/>
    <mergeCell ref="H80:J80"/>
    <mergeCell ref="A81:B81"/>
    <mergeCell ref="C81:D81"/>
    <mergeCell ref="E81:G81"/>
    <mergeCell ref="H81:J81"/>
    <mergeCell ref="A77:B77"/>
    <mergeCell ref="C77:D77"/>
    <mergeCell ref="A78:B78"/>
    <mergeCell ref="C78:D78"/>
    <mergeCell ref="E78:G78"/>
    <mergeCell ref="H78:J78"/>
    <mergeCell ref="A79:B79"/>
    <mergeCell ref="C79:D79"/>
    <mergeCell ref="E79:G79"/>
    <mergeCell ref="H79:J79"/>
    <mergeCell ref="A52:B52"/>
    <mergeCell ref="C52:D52"/>
    <mergeCell ref="A86:G86"/>
    <mergeCell ref="H86:J86"/>
    <mergeCell ref="A82:B82"/>
    <mergeCell ref="C82:D82"/>
    <mergeCell ref="E82:G82"/>
    <mergeCell ref="H82:J82"/>
    <mergeCell ref="A83:B83"/>
    <mergeCell ref="C83:D83"/>
    <mergeCell ref="E83:G83"/>
    <mergeCell ref="H83:J83"/>
    <mergeCell ref="H84:J84"/>
    <mergeCell ref="E54:G54"/>
    <mergeCell ref="H54:J54"/>
    <mergeCell ref="A37:D37"/>
    <mergeCell ref="E37:J37"/>
    <mergeCell ref="A39:J39"/>
    <mergeCell ref="A40:B40"/>
    <mergeCell ref="C40:D40"/>
    <mergeCell ref="A41:B41"/>
    <mergeCell ref="C41:D41"/>
    <mergeCell ref="H41:J41"/>
    <mergeCell ref="A42:B42"/>
    <mergeCell ref="C42:D42"/>
    <mergeCell ref="E42:G42"/>
    <mergeCell ref="H42:J42"/>
    <mergeCell ref="H49:J49"/>
    <mergeCell ref="E51:G51"/>
    <mergeCell ref="H51:J51"/>
    <mergeCell ref="E45:G45"/>
    <mergeCell ref="A23:B23"/>
    <mergeCell ref="A24:B24"/>
    <mergeCell ref="A25:B25"/>
    <mergeCell ref="A26:B26"/>
    <mergeCell ref="A27:B27"/>
    <mergeCell ref="A28:B28"/>
    <mergeCell ref="A29:B29"/>
    <mergeCell ref="C29:D29"/>
    <mergeCell ref="A30:D30"/>
    <mergeCell ref="C25:D25"/>
    <mergeCell ref="A4:J4"/>
    <mergeCell ref="A2:C2"/>
    <mergeCell ref="D2:J2"/>
    <mergeCell ref="A3:J3"/>
    <mergeCell ref="A5:J5"/>
    <mergeCell ref="B6:D6"/>
    <mergeCell ref="B7:D7"/>
    <mergeCell ref="B8:D8"/>
    <mergeCell ref="E8:J8"/>
    <mergeCell ref="B9:D9"/>
    <mergeCell ref="E9:J9"/>
    <mergeCell ref="B10:D10"/>
    <mergeCell ref="E10:J10"/>
    <mergeCell ref="E6:J6"/>
    <mergeCell ref="E7:J7"/>
    <mergeCell ref="B11:D11"/>
    <mergeCell ref="E11:J11"/>
    <mergeCell ref="A12:D12"/>
    <mergeCell ref="E12:J12"/>
    <mergeCell ref="A13:D13"/>
    <mergeCell ref="E13:J13"/>
    <mergeCell ref="A14:J14"/>
    <mergeCell ref="A15:J15"/>
    <mergeCell ref="A16:J16"/>
    <mergeCell ref="C22:D22"/>
    <mergeCell ref="E22:G22"/>
    <mergeCell ref="H22:J22"/>
    <mergeCell ref="E17:G17"/>
    <mergeCell ref="H17:J17"/>
    <mergeCell ref="E18:G18"/>
    <mergeCell ref="H18:J18"/>
    <mergeCell ref="B17:D17"/>
    <mergeCell ref="B18:D18"/>
    <mergeCell ref="A19:G19"/>
    <mergeCell ref="H19:J19"/>
    <mergeCell ref="B20:D20"/>
    <mergeCell ref="E20:G20"/>
    <mergeCell ref="H20:J20"/>
    <mergeCell ref="A21:J21"/>
    <mergeCell ref="A22:B22"/>
    <mergeCell ref="E25:G25"/>
    <mergeCell ref="H25:J25"/>
    <mergeCell ref="C26:D26"/>
    <mergeCell ref="E26:G26"/>
    <mergeCell ref="H26:J26"/>
    <mergeCell ref="C23:D23"/>
    <mergeCell ref="E23:G23"/>
    <mergeCell ref="H23:J23"/>
    <mergeCell ref="C24:D24"/>
    <mergeCell ref="E24:G24"/>
    <mergeCell ref="H24:J24"/>
    <mergeCell ref="E29:G29"/>
    <mergeCell ref="H29:J29"/>
    <mergeCell ref="A31:J31"/>
    <mergeCell ref="C32:D32"/>
    <mergeCell ref="E32:G32"/>
    <mergeCell ref="H32:J32"/>
    <mergeCell ref="C27:D27"/>
    <mergeCell ref="E27:G27"/>
    <mergeCell ref="H27:J27"/>
    <mergeCell ref="C28:D28"/>
    <mergeCell ref="E28:G28"/>
    <mergeCell ref="H28:J28"/>
    <mergeCell ref="E30:G30"/>
    <mergeCell ref="H30:J30"/>
    <mergeCell ref="A32:B32"/>
    <mergeCell ref="A33:B33"/>
    <mergeCell ref="A34:B34"/>
    <mergeCell ref="A35:B35"/>
    <mergeCell ref="A36:G36"/>
    <mergeCell ref="C43:D43"/>
    <mergeCell ref="E43:G43"/>
    <mergeCell ref="H43:J43"/>
    <mergeCell ref="C44:D44"/>
    <mergeCell ref="E44:G44"/>
    <mergeCell ref="H44:J44"/>
    <mergeCell ref="A38:J38"/>
    <mergeCell ref="H40:J40"/>
    <mergeCell ref="A43:B43"/>
    <mergeCell ref="A44:B44"/>
    <mergeCell ref="C35:D35"/>
    <mergeCell ref="E35:G35"/>
    <mergeCell ref="H35:J35"/>
    <mergeCell ref="H36:J36"/>
    <mergeCell ref="C33:D33"/>
    <mergeCell ref="E33:G33"/>
    <mergeCell ref="H33:J33"/>
    <mergeCell ref="C34:D34"/>
    <mergeCell ref="E34:G34"/>
    <mergeCell ref="H34:J34"/>
    <mergeCell ref="H45:J45"/>
    <mergeCell ref="A45:B45"/>
    <mergeCell ref="C45:D45"/>
    <mergeCell ref="H46:J46"/>
    <mergeCell ref="A48:J48"/>
    <mergeCell ref="A49:B49"/>
    <mergeCell ref="C49:D49"/>
    <mergeCell ref="A50:B50"/>
    <mergeCell ref="C50:D50"/>
    <mergeCell ref="H50:J50"/>
    <mergeCell ref="A51:B51"/>
    <mergeCell ref="C51:D51"/>
    <mergeCell ref="H58:J58"/>
    <mergeCell ref="H59:J59"/>
    <mergeCell ref="E53:G53"/>
    <mergeCell ref="H53:J53"/>
    <mergeCell ref="H56:J56"/>
    <mergeCell ref="A55:B55"/>
    <mergeCell ref="C55:D55"/>
    <mergeCell ref="E55:G55"/>
    <mergeCell ref="H55:J55"/>
    <mergeCell ref="A56:D56"/>
    <mergeCell ref="E56:G56"/>
    <mergeCell ref="A57:J57"/>
    <mergeCell ref="A58:B58"/>
    <mergeCell ref="C58:D58"/>
    <mergeCell ref="A59:B59"/>
    <mergeCell ref="C59:D59"/>
    <mergeCell ref="E52:G52"/>
    <mergeCell ref="H52:J52"/>
    <mergeCell ref="A53:B53"/>
    <mergeCell ref="C53:D53"/>
    <mergeCell ref="A54:B54"/>
    <mergeCell ref="C54:D54"/>
    <mergeCell ref="A67:D67"/>
    <mergeCell ref="E67:J67"/>
    <mergeCell ref="E73:G73"/>
    <mergeCell ref="H73:J73"/>
    <mergeCell ref="E77:G77"/>
    <mergeCell ref="H77:J77"/>
    <mergeCell ref="A70:B70"/>
    <mergeCell ref="C70:D70"/>
    <mergeCell ref="E70:G70"/>
    <mergeCell ref="H70:J70"/>
    <mergeCell ref="H71:J71"/>
    <mergeCell ref="A69:J69"/>
    <mergeCell ref="A71:B71"/>
    <mergeCell ref="C71:D71"/>
    <mergeCell ref="A72:B72"/>
    <mergeCell ref="C72:D72"/>
    <mergeCell ref="E72:G72"/>
    <mergeCell ref="H72:J72"/>
    <mergeCell ref="A73:B73"/>
    <mergeCell ref="C73:D73"/>
    <mergeCell ref="H74:J74"/>
    <mergeCell ref="A76:J76"/>
    <mergeCell ref="E66:G66"/>
    <mergeCell ref="H66:J66"/>
    <mergeCell ref="H60:J60"/>
    <mergeCell ref="H62:J62"/>
    <mergeCell ref="A65:B65"/>
    <mergeCell ref="C65:D65"/>
    <mergeCell ref="H65:J65"/>
    <mergeCell ref="A63:J63"/>
    <mergeCell ref="A64:B64"/>
    <mergeCell ref="C64:D64"/>
    <mergeCell ref="H64:J64"/>
    <mergeCell ref="A66:D66"/>
    <mergeCell ref="A60:B60"/>
    <mergeCell ref="C60:D60"/>
    <mergeCell ref="E60:G60"/>
    <mergeCell ref="A61:B61"/>
    <mergeCell ref="C61:D61"/>
    <mergeCell ref="E61:G61"/>
    <mergeCell ref="H61:J61"/>
    <mergeCell ref="A62:D62"/>
    <mergeCell ref="E62:G62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O88"/>
  <sheetViews>
    <sheetView topLeftCell="A64" workbookViewId="0">
      <selection activeCell="C79" sqref="C79:D79"/>
    </sheetView>
  </sheetViews>
  <sheetFormatPr defaultRowHeight="15" x14ac:dyDescent="0.25"/>
  <cols>
    <col min="1" max="1" width="6.7109375" style="146" customWidth="1"/>
    <col min="2" max="2" width="3.5703125" style="146" customWidth="1"/>
    <col min="3" max="3" width="10.7109375" style="134" customWidth="1"/>
    <col min="4" max="4" width="40.7109375" style="134" customWidth="1"/>
    <col min="5" max="8" width="3" style="134" customWidth="1"/>
    <col min="9" max="9" width="1.57031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382</v>
      </c>
      <c r="E2" s="738"/>
      <c r="F2" s="738"/>
      <c r="G2" s="738"/>
      <c r="H2" s="738"/>
      <c r="I2" s="738"/>
      <c r="J2" s="739"/>
      <c r="K2" s="136"/>
    </row>
    <row r="3" spans="1:15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1117.8599999999999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214</v>
      </c>
      <c r="C10" s="930"/>
      <c r="D10" s="931"/>
      <c r="E10" s="949">
        <f>(((E6*5.87448%)+E6)+(((E6*5.87448%)+E6)*6.008607%))-E6</f>
        <v>136.78203615041525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" customHeight="1" thickBot="1" x14ac:dyDescent="0.3">
      <c r="A11" s="141" t="s">
        <v>11</v>
      </c>
      <c r="B11" s="609" t="s">
        <v>158</v>
      </c>
      <c r="C11" s="610"/>
      <c r="D11" s="611"/>
      <c r="E11" s="950">
        <f>1045*20%</f>
        <v>209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25"/>
      <c r="E12" s="894">
        <f>SUM(E6:J11)</f>
        <v>1463.6420361504152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6.25" customHeight="1" x14ac:dyDescent="0.25">
      <c r="A13" s="551" t="s">
        <v>29</v>
      </c>
      <c r="B13" s="715"/>
      <c r="C13" s="715"/>
      <c r="D13" s="716"/>
      <c r="E13" s="926">
        <f>E12*E30</f>
        <v>538.62026930335287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1.2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978">
        <v>8.3299999999999999E-2</v>
      </c>
      <c r="F17" s="979"/>
      <c r="G17" s="980"/>
      <c r="H17" s="868">
        <f>E17*E12</f>
        <v>121.92138161132958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75">
        <v>0.121</v>
      </c>
      <c r="F18" s="976"/>
      <c r="G18" s="977"/>
      <c r="H18" s="868">
        <f>E18*E12</f>
        <v>177.10068637420022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299.02206798552982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75">
        <v>7.8200000000000006E-2</v>
      </c>
      <c r="F20" s="976"/>
      <c r="G20" s="977"/>
      <c r="H20" s="922">
        <f>E12*E20</f>
        <v>114.45680722696247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352.53282082718897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44.066602603398621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52.879923124078346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26.439961562039173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17.626641041359449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10.575984624815669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3.52532820827189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141.01312833087559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648.66039032202775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(3.9*2*25.5)-6%*(E6+E10)</f>
        <v>123.6214778309751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>
        <v>0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>
        <v>15</v>
      </c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/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138.6214778309751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25"/>
      <c r="E37" s="938">
        <f>H19+H30+H36</f>
        <v>1086.3039361385327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1.2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68"/>
      <c r="F40" s="169"/>
      <c r="G40" s="170"/>
      <c r="H40" s="870">
        <f>E12/12*5%</f>
        <v>6.0985084839600638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68"/>
      <c r="F41" s="169"/>
      <c r="G41" s="170"/>
      <c r="H41" s="870">
        <f>H40*8%</f>
        <v>0.48788067871680513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935"/>
      <c r="F43" s="935"/>
      <c r="G43" s="935"/>
      <c r="H43" s="868">
        <f>E12/30/12*7*100%</f>
        <v>28.459706258480296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935"/>
      <c r="F44" s="935"/>
      <c r="G44" s="935"/>
      <c r="H44" s="868">
        <f>H43*39.8%</f>
        <v>11.326963090875157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972"/>
      <c r="F45" s="973"/>
      <c r="G45" s="974"/>
      <c r="H45" s="900">
        <f>E12*5%</f>
        <v>73.182101807520766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8"/>
      <c r="H46" s="894">
        <f>SUM(H40:J45)</f>
        <v>119.55516031955308</v>
      </c>
      <c r="I46" s="895"/>
      <c r="J46" s="896"/>
      <c r="K46" s="145"/>
      <c r="L46" s="145"/>
      <c r="M46" s="145"/>
      <c r="N46" s="145"/>
      <c r="O46" s="145"/>
    </row>
    <row r="47" spans="1:15" ht="9" customHeight="1" thickBot="1" x14ac:dyDescent="0.3">
      <c r="A47" s="147"/>
      <c r="B47" s="147"/>
      <c r="C47" s="143"/>
      <c r="D47" s="143"/>
      <c r="E47" s="171"/>
      <c r="F47" s="171"/>
      <c r="G47" s="171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128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68"/>
      <c r="F49" s="169"/>
      <c r="G49" s="170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68"/>
      <c r="F50" s="169"/>
      <c r="G50" s="170"/>
      <c r="H50" s="870">
        <f>E12/30/12</f>
        <v>4.065672322640042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0.30492542419800311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935"/>
      <c r="F52" s="935"/>
      <c r="G52" s="935"/>
      <c r="H52" s="868">
        <f>E12/30/12*15*8%</f>
        <v>4.8788067871680507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935"/>
      <c r="F53" s="935"/>
      <c r="G53" s="935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935"/>
      <c r="F54" s="935"/>
      <c r="G54" s="935"/>
      <c r="H54" s="868">
        <f>E12/30/12*5*40%</f>
        <v>8.1313446452800839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935"/>
      <c r="F55" s="935"/>
      <c r="G55" s="935"/>
      <c r="H55" s="868">
        <f>SUM(H49:J54)*39.8%</f>
        <v>6.9192240350225642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24.304209047642075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68"/>
      <c r="F58" s="169"/>
      <c r="G58" s="170"/>
      <c r="H58" s="870">
        <f>((((E12+(E12/3))*0.3333)/12)*2%)</f>
        <v>1.0840708681087408</v>
      </c>
      <c r="I58" s="871"/>
      <c r="J58" s="455"/>
      <c r="K58" s="145"/>
      <c r="L58" s="145"/>
      <c r="M58" s="145"/>
      <c r="N58" s="145"/>
      <c r="O58" s="145"/>
    </row>
    <row r="59" spans="1:15" ht="43.5" customHeight="1" x14ac:dyDescent="0.25">
      <c r="A59" s="962" t="s">
        <v>7</v>
      </c>
      <c r="B59" s="963"/>
      <c r="C59" s="454" t="s">
        <v>65</v>
      </c>
      <c r="D59" s="455"/>
      <c r="E59" s="168"/>
      <c r="F59" s="169"/>
      <c r="G59" s="170"/>
      <c r="H59" s="870">
        <f>H58*39.8%</f>
        <v>0.43146020550727876</v>
      </c>
      <c r="I59" s="871"/>
      <c r="J59" s="455"/>
      <c r="K59" s="145"/>
      <c r="L59" s="145"/>
      <c r="M59" s="145"/>
      <c r="N59" s="145"/>
      <c r="O59" s="145"/>
    </row>
    <row r="60" spans="1:15" ht="43.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4.2028212401927014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935"/>
      <c r="F61" s="935"/>
      <c r="G61" s="935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5.7183523138087207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68"/>
      <c r="F64" s="169"/>
      <c r="G64" s="170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68"/>
      <c r="F65" s="169"/>
      <c r="G65" s="170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25"/>
      <c r="E67" s="938">
        <f>H66+H62+H56</f>
        <v>30.022686651142795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1.25" customHeight="1" thickBot="1" x14ac:dyDescent="0.3">
      <c r="A68" s="144"/>
      <c r="B68" s="144"/>
      <c r="C68" s="144"/>
      <c r="D68" s="144"/>
      <c r="E68" s="144"/>
      <c r="F68" s="144"/>
      <c r="G68" s="14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454"/>
      <c r="F70" s="871"/>
      <c r="G70" s="455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68"/>
      <c r="F71" s="169"/>
      <c r="G71" s="170"/>
      <c r="H71" s="870">
        <v>50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/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967"/>
      <c r="F73" s="967"/>
      <c r="G73" s="967"/>
      <c r="H73" s="888">
        <v>4.5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8"/>
      <c r="H74" s="894">
        <f>SUM(H70:J73)</f>
        <v>254.5</v>
      </c>
      <c r="I74" s="895"/>
      <c r="J74" s="896"/>
      <c r="K74" s="145"/>
      <c r="L74" s="145"/>
      <c r="M74" s="145"/>
      <c r="N74" s="145"/>
      <c r="O74" s="145"/>
    </row>
    <row r="75" spans="1:15" ht="9" customHeight="1" thickBot="1" x14ac:dyDescent="0.3">
      <c r="A75" s="147"/>
      <c r="B75" s="147"/>
      <c r="C75" s="143"/>
      <c r="D75" s="143"/>
      <c r="E75" s="171"/>
      <c r="F75" s="171"/>
      <c r="G75" s="171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971">
        <v>7.0000000000000007E-2</v>
      </c>
      <c r="F77" s="871"/>
      <c r="G77" s="455"/>
      <c r="H77" s="870">
        <f>(H74+E67+H46+E37+E12)*E77</f>
        <v>206.78166734817506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971">
        <v>7.577530628885254E-2</v>
      </c>
      <c r="F78" s="871"/>
      <c r="G78" s="455"/>
      <c r="H78" s="870">
        <f>E78*(H74+E67+H46+E37+E12)</f>
        <v>223.84205968896546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68">
        <v>0.85750000000000004</v>
      </c>
      <c r="F79" s="969"/>
      <c r="G79" s="970"/>
      <c r="H79" s="868">
        <f>(H74+E67+H46+E37+E12)/E79</f>
        <v>3444.92573674594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935">
        <v>1.6500000000000001E-2</v>
      </c>
      <c r="F80" s="935"/>
      <c r="G80" s="935"/>
      <c r="H80" s="868">
        <f>E80*D88</f>
        <v>48.105255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935">
        <v>7.5999999999999998E-2</v>
      </c>
      <c r="F81" s="935"/>
      <c r="G81" s="935"/>
      <c r="H81" s="868">
        <f>E81*D88</f>
        <v>221.57571999999999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935"/>
      <c r="F82" s="935"/>
      <c r="G82" s="935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967">
        <v>0.05</v>
      </c>
      <c r="F83" s="967"/>
      <c r="G83" s="967"/>
      <c r="H83" s="888">
        <f>E83*D88</f>
        <v>145.77349999999998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8"/>
      <c r="H84" s="894">
        <f>H77+H78+H80+H81+H83</f>
        <v>846.0782020371405</v>
      </c>
      <c r="I84" s="895"/>
      <c r="J84" s="896"/>
    </row>
    <row r="85" spans="1:15" ht="11.25" customHeight="1" thickBot="1" x14ac:dyDescent="0.3">
      <c r="A85" s="147"/>
      <c r="B85" s="147"/>
      <c r="C85" s="143"/>
      <c r="D85" s="143"/>
      <c r="E85" s="171"/>
      <c r="F85" s="171"/>
      <c r="G85" s="171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941">
        <f>SUM(H84+H74+E67+H46+E37+E12)</f>
        <v>3800.1020212967842</v>
      </c>
      <c r="I86" s="942"/>
      <c r="J86" s="943"/>
    </row>
    <row r="87" spans="1:15" x14ac:dyDescent="0.25">
      <c r="A87" s="145"/>
      <c r="B87" s="145"/>
      <c r="C87" s="145"/>
      <c r="D87" s="145"/>
      <c r="E87" s="145"/>
      <c r="F87" s="145"/>
      <c r="G87" s="145"/>
      <c r="H87" s="145"/>
      <c r="I87" s="145"/>
      <c r="J87" s="145"/>
    </row>
    <row r="88" spans="1:15" ht="15.75" thickBot="1" x14ac:dyDescent="0.3">
      <c r="D88" s="167">
        <v>2915.47</v>
      </c>
    </row>
  </sheetData>
  <mergeCells count="230">
    <mergeCell ref="A1:J1"/>
    <mergeCell ref="A84:G84"/>
    <mergeCell ref="A74:G74"/>
    <mergeCell ref="A46:G46"/>
    <mergeCell ref="A2:C2"/>
    <mergeCell ref="D2:J2"/>
    <mergeCell ref="A3:J3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O88"/>
  <sheetViews>
    <sheetView topLeftCell="A67" workbookViewId="0">
      <selection activeCell="P79" sqref="P79"/>
    </sheetView>
  </sheetViews>
  <sheetFormatPr defaultRowHeight="15" x14ac:dyDescent="0.25"/>
  <cols>
    <col min="1" max="1" width="6.7109375" style="146" customWidth="1"/>
    <col min="2" max="2" width="2" style="146" bestFit="1" customWidth="1"/>
    <col min="3" max="3" width="13" style="134" customWidth="1"/>
    <col min="4" max="4" width="40.140625" style="134" customWidth="1"/>
    <col min="5" max="7" width="3.140625" style="116" customWidth="1"/>
    <col min="8" max="8" width="3.7109375" style="134" customWidth="1"/>
    <col min="9" max="9" width="1.57031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384</v>
      </c>
      <c r="E2" s="738"/>
      <c r="F2" s="738"/>
      <c r="G2" s="738"/>
      <c r="H2" s="738"/>
      <c r="I2" s="738"/>
      <c r="J2" s="739"/>
      <c r="K2" s="136"/>
    </row>
    <row r="3" spans="1:15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1117.8599999999999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214</v>
      </c>
      <c r="C10" s="930"/>
      <c r="D10" s="931"/>
      <c r="E10" s="949">
        <f>(((E6*5.87448%)+E6)+(((E6*5.87448%)+E6)*6.008607%))-E6</f>
        <v>136.78203615041525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.75" customHeight="1" thickBot="1" x14ac:dyDescent="0.3">
      <c r="A11" s="142" t="s">
        <v>11</v>
      </c>
      <c r="B11" s="609" t="s">
        <v>158</v>
      </c>
      <c r="C11" s="610"/>
      <c r="D11" s="611"/>
      <c r="E11" s="950">
        <f>1045*20%</f>
        <v>209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25"/>
      <c r="E12" s="894">
        <f>SUM(E6:J11)</f>
        <v>1463.6420361504152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32.25" customHeight="1" x14ac:dyDescent="0.25">
      <c r="A13" s="551" t="s">
        <v>29</v>
      </c>
      <c r="B13" s="715"/>
      <c r="C13" s="715"/>
      <c r="D13" s="716"/>
      <c r="E13" s="926">
        <f>E12*E30</f>
        <v>538.62026930335287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9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389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121.92138161132958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177.10068637420022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299.02206798552982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114.45680722696247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352.53282082718897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44.066602603398621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52.879923124078346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26.439961562039173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17.626641041359449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10.575984624815669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3.52532820827189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141.01312833087559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648.66039032202775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(3.9*2*16)-6%*(E6+E10)</f>
        <v>49.521477830975087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>
        <v>0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>
        <v>15</v>
      </c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/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64.521477830975087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25"/>
      <c r="E37" s="938">
        <f>H19+H30+H36</f>
        <v>1012.2039361385326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2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6.0985084839600638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0.48788067871680513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28.459706258480296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11.326963090875157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73.182101807520766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385</v>
      </c>
      <c r="B46" s="508"/>
      <c r="C46" s="508"/>
      <c r="D46" s="508"/>
      <c r="E46" s="508"/>
      <c r="F46" s="508"/>
      <c r="G46" s="509"/>
      <c r="H46" s="894">
        <f>SUM(H40:J45)</f>
        <v>119.55516031955308</v>
      </c>
      <c r="I46" s="895"/>
      <c r="J46" s="896"/>
      <c r="K46" s="145"/>
      <c r="L46" s="145"/>
      <c r="M46" s="145"/>
      <c r="N46" s="145"/>
      <c r="O46" s="145"/>
    </row>
    <row r="47" spans="1:15" ht="9.7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4.065672322640042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0.30492542419800311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4.8788067871680507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8.1313446452800839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6.9192240350225642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24.304209047642075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1.0840708681087408</v>
      </c>
      <c r="I58" s="871"/>
      <c r="J58" s="455"/>
      <c r="K58" s="145"/>
      <c r="L58" s="145"/>
      <c r="M58" s="145"/>
      <c r="N58" s="145"/>
      <c r="O58" s="145"/>
    </row>
    <row r="59" spans="1:15" ht="43.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0.43146020550727876</v>
      </c>
      <c r="I59" s="871"/>
      <c r="J59" s="455"/>
      <c r="K59" s="145"/>
      <c r="L59" s="145"/>
      <c r="M59" s="145"/>
      <c r="N59" s="145"/>
      <c r="O59" s="145"/>
    </row>
    <row r="60" spans="1:15" ht="46.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4.2028212401927014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5.7183523138087207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25"/>
      <c r="E67" s="938">
        <f>H66+H62+H56</f>
        <v>30.022686651142795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2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v>50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/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v>4.5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8"/>
      <c r="H74" s="894">
        <f>SUM(H70:J73)</f>
        <v>254.5</v>
      </c>
      <c r="I74" s="895"/>
      <c r="J74" s="896"/>
      <c r="K74" s="145"/>
      <c r="L74" s="145"/>
      <c r="M74" s="145"/>
      <c r="N74" s="145"/>
      <c r="O74" s="145"/>
    </row>
    <row r="75" spans="1:15" ht="9.7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201.59466734817508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218.22710949296149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3358.5117425768435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48.105255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221.57571999999999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145.77349999999998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8"/>
      <c r="H84" s="894">
        <f>H77+H78+H80+H81+H83</f>
        <v>835.27625184113663</v>
      </c>
      <c r="I84" s="895"/>
      <c r="J84" s="896"/>
    </row>
    <row r="85" spans="1:15" ht="12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941">
        <f>SUM(H84+H74+E67+H46+E37+E12)</f>
        <v>3715.2000711007804</v>
      </c>
      <c r="I86" s="942"/>
      <c r="J86" s="943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2915.47</v>
      </c>
    </row>
  </sheetData>
  <mergeCells count="230">
    <mergeCell ref="A1:J1"/>
    <mergeCell ref="A46:G46"/>
    <mergeCell ref="A74:G74"/>
    <mergeCell ref="A84:G8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O89"/>
  <sheetViews>
    <sheetView topLeftCell="A67" workbookViewId="0">
      <selection activeCell="M75" sqref="M75"/>
    </sheetView>
  </sheetViews>
  <sheetFormatPr defaultRowHeight="15" x14ac:dyDescent="0.25"/>
  <cols>
    <col min="1" max="1" width="6.7109375" style="146" customWidth="1"/>
    <col min="2" max="2" width="3.140625" style="146" customWidth="1"/>
    <col min="3" max="3" width="14.5703125" style="134" customWidth="1"/>
    <col min="4" max="4" width="37.140625" style="134" customWidth="1"/>
    <col min="5" max="7" width="3.140625" style="116" customWidth="1"/>
    <col min="8" max="8" width="3.7109375" style="134" customWidth="1"/>
    <col min="9" max="9" width="1.57031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383</v>
      </c>
      <c r="E2" s="738"/>
      <c r="F2" s="738"/>
      <c r="G2" s="738"/>
      <c r="H2" s="738"/>
      <c r="I2" s="738"/>
      <c r="J2" s="739"/>
      <c r="K2" s="136"/>
    </row>
    <row r="3" spans="1:15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1117.8599999999999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>
        <f>((((E6+E11)/220)*35%)*9)*16</f>
        <v>287.42708464536781</v>
      </c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>
        <f>((((E6+E11+E12)/220)*35%)*0.14)*16</f>
        <v>5.2158879833723883</v>
      </c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148</v>
      </c>
      <c r="C10" s="930"/>
      <c r="D10" s="931"/>
      <c r="E10" s="951">
        <f>((E8+E9)/25)*5</f>
        <v>58.528594525748041</v>
      </c>
      <c r="F10" s="952"/>
      <c r="G10" s="952"/>
      <c r="H10" s="952"/>
      <c r="I10" s="952"/>
      <c r="J10" s="953"/>
      <c r="K10" s="145"/>
      <c r="L10" s="145"/>
      <c r="M10" s="145"/>
      <c r="N10" s="145"/>
      <c r="O10" s="145"/>
    </row>
    <row r="11" spans="1:15" x14ac:dyDescent="0.25">
      <c r="A11" s="139" t="s">
        <v>11</v>
      </c>
      <c r="B11" s="929" t="s">
        <v>214</v>
      </c>
      <c r="C11" s="930"/>
      <c r="D11" s="931"/>
      <c r="E11" s="949">
        <f>(((E6*5.87448%)+E6)+(((E6*5.87448%)+E6)*6.008607%))-E6</f>
        <v>136.78203615041525</v>
      </c>
      <c r="F11" s="949"/>
      <c r="G11" s="949"/>
      <c r="H11" s="949"/>
      <c r="I11" s="949"/>
      <c r="J11" s="949"/>
      <c r="K11" s="145"/>
      <c r="L11" s="145"/>
      <c r="M11" s="145"/>
      <c r="N11" s="145"/>
      <c r="O11" s="145"/>
    </row>
    <row r="12" spans="1:15" ht="16.5" customHeight="1" thickBot="1" x14ac:dyDescent="0.3">
      <c r="A12" s="141" t="s">
        <v>39</v>
      </c>
      <c r="B12" s="609" t="s">
        <v>158</v>
      </c>
      <c r="C12" s="610"/>
      <c r="D12" s="611"/>
      <c r="E12" s="950">
        <f>1045*20%</f>
        <v>209</v>
      </c>
      <c r="F12" s="950"/>
      <c r="G12" s="950"/>
      <c r="H12" s="950"/>
      <c r="I12" s="950"/>
      <c r="J12" s="950"/>
      <c r="K12" s="145"/>
      <c r="L12" s="145"/>
      <c r="M12" s="145"/>
      <c r="N12" s="145"/>
      <c r="O12" s="145"/>
    </row>
    <row r="13" spans="1:15" ht="15" customHeight="1" thickBot="1" x14ac:dyDescent="0.3">
      <c r="A13" s="882" t="s">
        <v>319</v>
      </c>
      <c r="B13" s="883"/>
      <c r="C13" s="883"/>
      <c r="D13" s="925"/>
      <c r="E13" s="894">
        <f>SUM(E6:J12)</f>
        <v>1814.8136033049034</v>
      </c>
      <c r="F13" s="895"/>
      <c r="G13" s="895"/>
      <c r="H13" s="895"/>
      <c r="I13" s="895"/>
      <c r="J13" s="896"/>
      <c r="K13" s="145"/>
      <c r="L13" s="145"/>
      <c r="M13" s="145"/>
      <c r="N13" s="145"/>
      <c r="O13" s="145"/>
    </row>
    <row r="14" spans="1:15" ht="30" customHeight="1" x14ac:dyDescent="0.25">
      <c r="A14" s="551" t="s">
        <v>29</v>
      </c>
      <c r="B14" s="715"/>
      <c r="C14" s="715"/>
      <c r="D14" s="716"/>
      <c r="E14" s="926">
        <f>E13*E31</f>
        <v>667.85140601620458</v>
      </c>
      <c r="F14" s="927"/>
      <c r="G14" s="927"/>
      <c r="H14" s="927"/>
      <c r="I14" s="927"/>
      <c r="J14" s="928"/>
      <c r="K14" s="145"/>
      <c r="L14" s="145"/>
      <c r="M14" s="145"/>
      <c r="N14" s="145"/>
      <c r="O14" s="145"/>
    </row>
    <row r="15" spans="1:15" ht="9" customHeight="1" thickBot="1" x14ac:dyDescent="0.3">
      <c r="A15" s="286"/>
      <c r="B15" s="876"/>
      <c r="C15" s="876"/>
      <c r="D15" s="876"/>
      <c r="E15" s="876"/>
      <c r="F15" s="876"/>
      <c r="G15" s="876"/>
      <c r="H15" s="876"/>
      <c r="I15" s="876"/>
      <c r="J15" s="284"/>
      <c r="K15" s="145"/>
      <c r="L15" s="145"/>
      <c r="M15" s="145"/>
      <c r="N15" s="145"/>
      <c r="O15" s="145"/>
    </row>
    <row r="16" spans="1:15" ht="27" customHeight="1" thickBot="1" x14ac:dyDescent="0.3">
      <c r="A16" s="494" t="s">
        <v>32</v>
      </c>
      <c r="B16" s="495"/>
      <c r="C16" s="495"/>
      <c r="D16" s="495"/>
      <c r="E16" s="495"/>
      <c r="F16" s="495"/>
      <c r="G16" s="495"/>
      <c r="H16" s="495"/>
      <c r="I16" s="495"/>
      <c r="J16" s="496"/>
      <c r="K16" s="136"/>
    </row>
    <row r="17" spans="1:15" ht="30" customHeight="1" thickBot="1" x14ac:dyDescent="0.3">
      <c r="A17" s="507" t="s">
        <v>339</v>
      </c>
      <c r="B17" s="508"/>
      <c r="C17" s="508"/>
      <c r="D17" s="508"/>
      <c r="E17" s="508"/>
      <c r="F17" s="508"/>
      <c r="G17" s="508"/>
      <c r="H17" s="508"/>
      <c r="I17" s="508"/>
      <c r="J17" s="509"/>
      <c r="K17" s="136"/>
    </row>
    <row r="18" spans="1:15" x14ac:dyDescent="0.25">
      <c r="A18" s="139" t="s">
        <v>2</v>
      </c>
      <c r="B18" s="284" t="s">
        <v>34</v>
      </c>
      <c r="C18" s="285"/>
      <c r="D18" s="286"/>
      <c r="E18" s="873">
        <v>8.3299999999999999E-2</v>
      </c>
      <c r="F18" s="874"/>
      <c r="G18" s="875"/>
      <c r="H18" s="868">
        <f>E18*E13</f>
        <v>151.17397315529846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139" t="s">
        <v>7</v>
      </c>
      <c r="B19" s="284" t="s">
        <v>35</v>
      </c>
      <c r="C19" s="285"/>
      <c r="D19" s="286"/>
      <c r="E19" s="909">
        <v>0.121</v>
      </c>
      <c r="F19" s="910"/>
      <c r="G19" s="911"/>
      <c r="H19" s="868">
        <f>E19*E13</f>
        <v>219.5924459998933</v>
      </c>
      <c r="I19" s="868"/>
      <c r="J19" s="868"/>
      <c r="K19" s="145"/>
      <c r="L19" s="145"/>
      <c r="M19" s="145"/>
      <c r="N19" s="145"/>
      <c r="O19" s="145"/>
    </row>
    <row r="20" spans="1:15" x14ac:dyDescent="0.25">
      <c r="A20" s="918" t="s">
        <v>36</v>
      </c>
      <c r="B20" s="919"/>
      <c r="C20" s="919"/>
      <c r="D20" s="919"/>
      <c r="E20" s="919"/>
      <c r="F20" s="919"/>
      <c r="G20" s="920"/>
      <c r="H20" s="921">
        <f>SUM(H18:J19)</f>
        <v>370.76641915519178</v>
      </c>
      <c r="I20" s="921"/>
      <c r="J20" s="921"/>
      <c r="K20" s="145"/>
      <c r="L20" s="145"/>
      <c r="M20" s="145"/>
      <c r="N20" s="145"/>
      <c r="O20" s="145"/>
    </row>
    <row r="21" spans="1:15" ht="28.5" customHeight="1" thickBot="1" x14ac:dyDescent="0.3">
      <c r="A21" s="139" t="s">
        <v>8</v>
      </c>
      <c r="B21" s="284" t="s">
        <v>37</v>
      </c>
      <c r="C21" s="285"/>
      <c r="D21" s="286"/>
      <c r="E21" s="909">
        <v>7.8200000000000006E-2</v>
      </c>
      <c r="F21" s="910"/>
      <c r="G21" s="911"/>
      <c r="H21" s="922">
        <f>E13*E21</f>
        <v>141.91842377844347</v>
      </c>
      <c r="I21" s="923"/>
      <c r="J21" s="924"/>
      <c r="K21" s="145"/>
      <c r="L21" s="145"/>
      <c r="M21" s="145"/>
      <c r="N21" s="145"/>
      <c r="O21" s="145"/>
    </row>
    <row r="22" spans="1:15" ht="30" customHeight="1" thickBot="1" x14ac:dyDescent="0.3">
      <c r="A22" s="507" t="s">
        <v>45</v>
      </c>
      <c r="B22" s="508"/>
      <c r="C22" s="508"/>
      <c r="D22" s="508"/>
      <c r="E22" s="508"/>
      <c r="F22" s="508"/>
      <c r="G22" s="508"/>
      <c r="H22" s="508"/>
      <c r="I22" s="508"/>
      <c r="J22" s="509"/>
      <c r="K22" s="136"/>
    </row>
    <row r="23" spans="1:15" x14ac:dyDescent="0.25">
      <c r="A23" s="478" t="s">
        <v>2</v>
      </c>
      <c r="B23" s="479"/>
      <c r="C23" s="912" t="s">
        <v>3</v>
      </c>
      <c r="D23" s="913"/>
      <c r="E23" s="914">
        <v>0.2</v>
      </c>
      <c r="F23" s="914"/>
      <c r="G23" s="914"/>
      <c r="H23" s="868">
        <f>E23*(E13+H20)</f>
        <v>437.1160044920191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7</v>
      </c>
      <c r="B24" s="479"/>
      <c r="C24" s="284" t="s">
        <v>41</v>
      </c>
      <c r="D24" s="286"/>
      <c r="E24" s="877">
        <v>2.5000000000000001E-2</v>
      </c>
      <c r="F24" s="877"/>
      <c r="G24" s="877"/>
      <c r="H24" s="868">
        <f>E24*(E13+H20)</f>
        <v>54.639500561502388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8</v>
      </c>
      <c r="B25" s="479"/>
      <c r="C25" s="915" t="s">
        <v>42</v>
      </c>
      <c r="D25" s="916"/>
      <c r="E25" s="917">
        <v>0.03</v>
      </c>
      <c r="F25" s="917"/>
      <c r="G25" s="917"/>
      <c r="H25" s="868">
        <f>E25*(E13+H20)</f>
        <v>65.567400673802851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9</v>
      </c>
      <c r="B26" s="479"/>
      <c r="C26" s="284" t="s">
        <v>43</v>
      </c>
      <c r="D26" s="286"/>
      <c r="E26" s="877">
        <v>1.4999999999999999E-2</v>
      </c>
      <c r="F26" s="877"/>
      <c r="G26" s="877"/>
      <c r="H26" s="868">
        <f>E26*(E13+H20)</f>
        <v>32.783700336901425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10</v>
      </c>
      <c r="B27" s="479"/>
      <c r="C27" s="284" t="s">
        <v>44</v>
      </c>
      <c r="D27" s="286"/>
      <c r="E27" s="877">
        <v>0.01</v>
      </c>
      <c r="F27" s="877"/>
      <c r="G27" s="877"/>
      <c r="H27" s="868">
        <f>E27*(E13+H20)</f>
        <v>21.855800224600952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11</v>
      </c>
      <c r="B28" s="479"/>
      <c r="C28" s="284" t="s">
        <v>6</v>
      </c>
      <c r="D28" s="286"/>
      <c r="E28" s="877">
        <v>6.0000000000000001E-3</v>
      </c>
      <c r="F28" s="877"/>
      <c r="G28" s="877"/>
      <c r="H28" s="868">
        <f>E28*(E13+H20)</f>
        <v>13.113480134760572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39</v>
      </c>
      <c r="B29" s="479"/>
      <c r="C29" s="284" t="s">
        <v>5</v>
      </c>
      <c r="D29" s="286"/>
      <c r="E29" s="877">
        <v>2E-3</v>
      </c>
      <c r="F29" s="877"/>
      <c r="G29" s="877"/>
      <c r="H29" s="868">
        <f>E29*(E13+H20)</f>
        <v>4.3711600449201908</v>
      </c>
      <c r="I29" s="868"/>
      <c r="J29" s="868"/>
      <c r="K29" s="145"/>
      <c r="L29" s="145"/>
      <c r="M29" s="145"/>
      <c r="N29" s="145"/>
      <c r="O29" s="145"/>
    </row>
    <row r="30" spans="1:15" x14ac:dyDescent="0.25">
      <c r="A30" s="478" t="s">
        <v>40</v>
      </c>
      <c r="B30" s="479"/>
      <c r="C30" s="284" t="s">
        <v>4</v>
      </c>
      <c r="D30" s="285"/>
      <c r="E30" s="909">
        <v>0.08</v>
      </c>
      <c r="F30" s="910"/>
      <c r="G30" s="911"/>
      <c r="H30" s="868">
        <f>E30*(E13+H20)</f>
        <v>174.84640179680761</v>
      </c>
      <c r="I30" s="868"/>
      <c r="J30" s="868"/>
      <c r="K30" s="145"/>
      <c r="L30" s="145"/>
      <c r="M30" s="145"/>
      <c r="N30" s="145"/>
      <c r="O30" s="145"/>
    </row>
    <row r="31" spans="1:15" ht="15.75" thickBot="1" x14ac:dyDescent="0.3">
      <c r="A31" s="878" t="s">
        <v>36</v>
      </c>
      <c r="B31" s="878"/>
      <c r="C31" s="878"/>
      <c r="D31" s="878"/>
      <c r="E31" s="879">
        <f>SUM(E23:G30)</f>
        <v>0.36800000000000005</v>
      </c>
      <c r="F31" s="880"/>
      <c r="G31" s="881"/>
      <c r="H31" s="869">
        <f>SUM(H23:J30)</f>
        <v>804.29344826531508</v>
      </c>
      <c r="I31" s="869"/>
      <c r="J31" s="869"/>
      <c r="K31" s="145"/>
      <c r="L31" s="145"/>
      <c r="M31" s="145"/>
      <c r="N31" s="145"/>
      <c r="O31" s="145"/>
    </row>
    <row r="32" spans="1:15" ht="15.75" thickBot="1" x14ac:dyDescent="0.3">
      <c r="A32" s="507" t="s">
        <v>48</v>
      </c>
      <c r="B32" s="508"/>
      <c r="C32" s="508"/>
      <c r="D32" s="508"/>
      <c r="E32" s="508"/>
      <c r="F32" s="508"/>
      <c r="G32" s="508"/>
      <c r="H32" s="508"/>
      <c r="I32" s="508"/>
      <c r="J32" s="509"/>
      <c r="K32" s="136"/>
    </row>
    <row r="33" spans="1:15" x14ac:dyDescent="0.25">
      <c r="A33" s="478" t="s">
        <v>2</v>
      </c>
      <c r="B33" s="479"/>
      <c r="C33" s="912" t="s">
        <v>46</v>
      </c>
      <c r="D33" s="913"/>
      <c r="E33" s="914"/>
      <c r="F33" s="914"/>
      <c r="G33" s="914"/>
      <c r="H33" s="868">
        <f>(3.9*2*16)-6%*(E6+E11)</f>
        <v>49.521477830975087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7</v>
      </c>
      <c r="B34" s="479"/>
      <c r="C34" s="284" t="s">
        <v>47</v>
      </c>
      <c r="D34" s="286"/>
      <c r="E34" s="877"/>
      <c r="F34" s="877"/>
      <c r="G34" s="877"/>
      <c r="H34" s="868">
        <v>0</v>
      </c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8</v>
      </c>
      <c r="B35" s="479"/>
      <c r="C35" s="284" t="s">
        <v>49</v>
      </c>
      <c r="D35" s="286"/>
      <c r="E35" s="877"/>
      <c r="F35" s="877"/>
      <c r="G35" s="877"/>
      <c r="H35" s="868">
        <v>15</v>
      </c>
      <c r="I35" s="868"/>
      <c r="J35" s="868"/>
      <c r="K35" s="145"/>
      <c r="L35" s="145"/>
      <c r="M35" s="145"/>
      <c r="N35" s="145"/>
      <c r="O35" s="145"/>
    </row>
    <row r="36" spans="1:15" x14ac:dyDescent="0.25">
      <c r="A36" s="478" t="s">
        <v>9</v>
      </c>
      <c r="B36" s="479"/>
      <c r="C36" s="478" t="s">
        <v>28</v>
      </c>
      <c r="D36" s="479"/>
      <c r="E36" s="877"/>
      <c r="F36" s="877"/>
      <c r="G36" s="877"/>
      <c r="H36" s="868"/>
      <c r="I36" s="868"/>
      <c r="J36" s="868"/>
      <c r="K36" s="145"/>
      <c r="L36" s="145"/>
      <c r="M36" s="145"/>
      <c r="N36" s="145"/>
      <c r="O36" s="145"/>
    </row>
    <row r="37" spans="1:15" ht="15.75" thickBot="1" x14ac:dyDescent="0.3">
      <c r="A37" s="905" t="s">
        <v>38</v>
      </c>
      <c r="B37" s="906"/>
      <c r="C37" s="906"/>
      <c r="D37" s="906"/>
      <c r="E37" s="906"/>
      <c r="F37" s="906"/>
      <c r="G37" s="907"/>
      <c r="H37" s="867">
        <f>SUM(H33:J36)</f>
        <v>64.521477830975087</v>
      </c>
      <c r="I37" s="867"/>
      <c r="J37" s="867"/>
      <c r="K37" s="145"/>
      <c r="L37" s="145"/>
      <c r="M37" s="145"/>
      <c r="N37" s="145"/>
      <c r="O37" s="145"/>
    </row>
    <row r="38" spans="1:15" ht="15.75" thickBot="1" x14ac:dyDescent="0.3">
      <c r="A38" s="882" t="s">
        <v>72</v>
      </c>
      <c r="B38" s="883"/>
      <c r="C38" s="883"/>
      <c r="D38" s="883"/>
      <c r="E38" s="884">
        <f>H20+H31+H37</f>
        <v>1239.5813452514819</v>
      </c>
      <c r="F38" s="885"/>
      <c r="G38" s="885"/>
      <c r="H38" s="885"/>
      <c r="I38" s="885"/>
      <c r="J38" s="886"/>
      <c r="K38" s="145"/>
      <c r="L38" s="145"/>
      <c r="M38" s="145"/>
      <c r="N38" s="145"/>
      <c r="O38" s="145"/>
    </row>
    <row r="39" spans="1:15" ht="9.75" customHeight="1" thickBot="1" x14ac:dyDescent="0.3">
      <c r="A39" s="908"/>
      <c r="B39" s="908"/>
      <c r="C39" s="908"/>
      <c r="D39" s="908"/>
      <c r="E39" s="908"/>
      <c r="F39" s="908"/>
      <c r="G39" s="908"/>
      <c r="H39" s="908"/>
      <c r="I39" s="908"/>
      <c r="J39" s="908"/>
      <c r="K39" s="145"/>
      <c r="L39" s="145"/>
      <c r="M39" s="145"/>
      <c r="N39" s="145"/>
      <c r="O39" s="145"/>
    </row>
    <row r="40" spans="1:15" ht="27" customHeight="1" thickBot="1" x14ac:dyDescent="0.3">
      <c r="A40" s="494" t="s">
        <v>129</v>
      </c>
      <c r="B40" s="495"/>
      <c r="C40" s="495"/>
      <c r="D40" s="495"/>
      <c r="E40" s="495"/>
      <c r="F40" s="495"/>
      <c r="G40" s="495"/>
      <c r="H40" s="495"/>
      <c r="I40" s="495"/>
      <c r="J40" s="496"/>
      <c r="K40" s="136"/>
    </row>
    <row r="41" spans="1:15" x14ac:dyDescent="0.25">
      <c r="A41" s="962" t="s">
        <v>2</v>
      </c>
      <c r="B41" s="963"/>
      <c r="C41" s="454" t="s">
        <v>51</v>
      </c>
      <c r="D41" s="455"/>
      <c r="E41" s="150"/>
      <c r="F41" s="151"/>
      <c r="G41" s="152"/>
      <c r="H41" s="870">
        <f>E13/12*5%</f>
        <v>7.5617233471037641</v>
      </c>
      <c r="I41" s="871"/>
      <c r="J41" s="455"/>
      <c r="K41" s="145"/>
      <c r="L41" s="145"/>
      <c r="M41" s="145"/>
      <c r="N41" s="145"/>
      <c r="O41" s="145"/>
    </row>
    <row r="42" spans="1:15" x14ac:dyDescent="0.25">
      <c r="A42" s="962" t="s">
        <v>7</v>
      </c>
      <c r="B42" s="963"/>
      <c r="C42" s="454" t="s">
        <v>52</v>
      </c>
      <c r="D42" s="455"/>
      <c r="E42" s="150"/>
      <c r="F42" s="151"/>
      <c r="G42" s="152"/>
      <c r="H42" s="870">
        <f>H41*8%</f>
        <v>0.60493786776830116</v>
      </c>
      <c r="I42" s="871"/>
      <c r="J42" s="455"/>
      <c r="K42" s="145"/>
      <c r="L42" s="145"/>
      <c r="M42" s="145"/>
      <c r="N42" s="145"/>
      <c r="O42" s="145"/>
    </row>
    <row r="43" spans="1:15" ht="27.75" customHeight="1" x14ac:dyDescent="0.25">
      <c r="A43" s="962" t="s">
        <v>8</v>
      </c>
      <c r="B43" s="963"/>
      <c r="C43" s="320" t="s">
        <v>53</v>
      </c>
      <c r="D43" s="321"/>
      <c r="E43" s="873"/>
      <c r="F43" s="874"/>
      <c r="G43" s="875"/>
      <c r="H43" s="868">
        <f>E43*E13</f>
        <v>0</v>
      </c>
      <c r="I43" s="868"/>
      <c r="J43" s="868"/>
      <c r="K43" s="145"/>
      <c r="L43" s="145"/>
      <c r="M43" s="145"/>
      <c r="N43" s="145"/>
      <c r="O43" s="145"/>
    </row>
    <row r="44" spans="1:15" x14ac:dyDescent="0.25">
      <c r="A44" s="964" t="s">
        <v>9</v>
      </c>
      <c r="B44" s="964"/>
      <c r="C44" s="284" t="s">
        <v>54</v>
      </c>
      <c r="D44" s="286"/>
      <c r="E44" s="877"/>
      <c r="F44" s="877"/>
      <c r="G44" s="877"/>
      <c r="H44" s="868">
        <f>E13/30/12*7*100%</f>
        <v>35.288042286484234</v>
      </c>
      <c r="I44" s="868"/>
      <c r="J44" s="868"/>
      <c r="K44" s="145"/>
      <c r="L44" s="145"/>
      <c r="M44" s="145"/>
      <c r="N44" s="145"/>
      <c r="O44" s="145"/>
    </row>
    <row r="45" spans="1:15" ht="27.75" customHeight="1" x14ac:dyDescent="0.25">
      <c r="A45" s="964" t="s">
        <v>10</v>
      </c>
      <c r="B45" s="964"/>
      <c r="C45" s="478" t="s">
        <v>83</v>
      </c>
      <c r="D45" s="479"/>
      <c r="E45" s="877"/>
      <c r="F45" s="877"/>
      <c r="G45" s="877"/>
      <c r="H45" s="868">
        <f>H44*39.8%</f>
        <v>14.044640830020723</v>
      </c>
      <c r="I45" s="868"/>
      <c r="J45" s="868"/>
      <c r="K45" s="145"/>
      <c r="L45" s="145"/>
      <c r="M45" s="145"/>
      <c r="N45" s="145"/>
      <c r="O45" s="145"/>
    </row>
    <row r="46" spans="1:15" ht="28.5" customHeight="1" thickBot="1" x14ac:dyDescent="0.3">
      <c r="A46" s="475" t="s">
        <v>11</v>
      </c>
      <c r="B46" s="476"/>
      <c r="C46" s="834" t="s">
        <v>53</v>
      </c>
      <c r="D46" s="835"/>
      <c r="E46" s="897"/>
      <c r="F46" s="898"/>
      <c r="G46" s="899"/>
      <c r="H46" s="900">
        <f>E13*5%</f>
        <v>90.74068016524518</v>
      </c>
      <c r="I46" s="901"/>
      <c r="J46" s="902"/>
      <c r="K46" s="145"/>
      <c r="L46" s="145"/>
      <c r="M46" s="145"/>
      <c r="N46" s="145"/>
      <c r="O46" s="145"/>
    </row>
    <row r="47" spans="1:15" ht="15" customHeight="1" thickBot="1" x14ac:dyDescent="0.3">
      <c r="A47" s="507" t="s">
        <v>333</v>
      </c>
      <c r="B47" s="508"/>
      <c r="C47" s="508"/>
      <c r="D47" s="508"/>
      <c r="E47" s="508"/>
      <c r="F47" s="508"/>
      <c r="G47" s="508"/>
      <c r="H47" s="894">
        <f>SUM(H41:J46)</f>
        <v>148.2400244966222</v>
      </c>
      <c r="I47" s="895"/>
      <c r="J47" s="896"/>
      <c r="K47" s="145"/>
      <c r="L47" s="145"/>
      <c r="M47" s="145"/>
      <c r="N47" s="145"/>
      <c r="O47" s="145"/>
    </row>
    <row r="48" spans="1:15" ht="9.75" customHeight="1" thickBot="1" x14ac:dyDescent="0.3">
      <c r="A48" s="147"/>
      <c r="B48" s="147"/>
      <c r="C48" s="143"/>
      <c r="D48" s="143"/>
      <c r="E48" s="153"/>
      <c r="F48" s="153"/>
      <c r="G48" s="153"/>
      <c r="H48" s="166"/>
      <c r="I48" s="166"/>
      <c r="J48" s="166"/>
      <c r="K48" s="145"/>
      <c r="L48" s="145"/>
      <c r="M48" s="145"/>
      <c r="N48" s="145"/>
      <c r="O48" s="145"/>
    </row>
    <row r="49" spans="1:15" ht="33" customHeight="1" thickBot="1" x14ac:dyDescent="0.3">
      <c r="A49" s="494" t="s">
        <v>317</v>
      </c>
      <c r="B49" s="495"/>
      <c r="C49" s="495"/>
      <c r="D49" s="495"/>
      <c r="E49" s="495"/>
      <c r="F49" s="495"/>
      <c r="G49" s="495"/>
      <c r="H49" s="495"/>
      <c r="I49" s="495"/>
      <c r="J49" s="496"/>
      <c r="K49" s="136"/>
    </row>
    <row r="50" spans="1:15" x14ac:dyDescent="0.25">
      <c r="A50" s="962" t="s">
        <v>2</v>
      </c>
      <c r="B50" s="963"/>
      <c r="C50" s="454" t="s">
        <v>56</v>
      </c>
      <c r="D50" s="455"/>
      <c r="E50" s="150"/>
      <c r="F50" s="151"/>
      <c r="G50" s="152"/>
      <c r="H50" s="870">
        <f>E21/12*5%</f>
        <v>3.2583333333333336E-4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7</v>
      </c>
      <c r="B51" s="963"/>
      <c r="C51" s="454" t="s">
        <v>57</v>
      </c>
      <c r="D51" s="455"/>
      <c r="E51" s="150"/>
      <c r="F51" s="151"/>
      <c r="G51" s="152"/>
      <c r="H51" s="870">
        <f>E13/30/12</f>
        <v>5.0411488980691761</v>
      </c>
      <c r="I51" s="871"/>
      <c r="J51" s="455"/>
      <c r="K51" s="145"/>
      <c r="L51" s="145"/>
      <c r="M51" s="145"/>
      <c r="N51" s="145"/>
      <c r="O51" s="145"/>
    </row>
    <row r="52" spans="1:15" x14ac:dyDescent="0.25">
      <c r="A52" s="962" t="s">
        <v>8</v>
      </c>
      <c r="B52" s="963"/>
      <c r="C52" s="320" t="s">
        <v>58</v>
      </c>
      <c r="D52" s="321"/>
      <c r="E52" s="873"/>
      <c r="F52" s="874"/>
      <c r="G52" s="875"/>
      <c r="H52" s="868">
        <f>E13/30/12*5*1.5%</f>
        <v>0.37808616735518819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9</v>
      </c>
      <c r="B53" s="964"/>
      <c r="C53" s="284" t="s">
        <v>59</v>
      </c>
      <c r="D53" s="286"/>
      <c r="E53" s="877"/>
      <c r="F53" s="877"/>
      <c r="G53" s="877"/>
      <c r="H53" s="868">
        <f>E13/30/12*15*8%</f>
        <v>6.049378677683011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10</v>
      </c>
      <c r="B54" s="964"/>
      <c r="C54" s="478" t="s">
        <v>60</v>
      </c>
      <c r="D54" s="479"/>
      <c r="E54" s="877"/>
      <c r="F54" s="877"/>
      <c r="G54" s="877"/>
      <c r="H54" s="868">
        <f>E21*5%</f>
        <v>3.9100000000000003E-3</v>
      </c>
      <c r="I54" s="868"/>
      <c r="J54" s="868"/>
      <c r="K54" s="145"/>
      <c r="L54" s="145"/>
      <c r="M54" s="145"/>
      <c r="N54" s="145"/>
      <c r="O54" s="145"/>
    </row>
    <row r="55" spans="1:15" x14ac:dyDescent="0.25">
      <c r="A55" s="964" t="s">
        <v>11</v>
      </c>
      <c r="B55" s="964"/>
      <c r="C55" s="478" t="s">
        <v>61</v>
      </c>
      <c r="D55" s="479"/>
      <c r="E55" s="877"/>
      <c r="F55" s="877"/>
      <c r="G55" s="877"/>
      <c r="H55" s="868">
        <f>E13/30/12*5*40%</f>
        <v>10.082297796138352</v>
      </c>
      <c r="I55" s="868"/>
      <c r="J55" s="868"/>
      <c r="K55" s="145"/>
      <c r="L55" s="145"/>
      <c r="M55" s="145"/>
      <c r="N55" s="145"/>
      <c r="O55" s="145"/>
    </row>
    <row r="56" spans="1:15" ht="27.75" customHeight="1" x14ac:dyDescent="0.25">
      <c r="A56" s="964" t="s">
        <v>39</v>
      </c>
      <c r="B56" s="964"/>
      <c r="C56" s="478" t="s">
        <v>62</v>
      </c>
      <c r="D56" s="479"/>
      <c r="E56" s="877"/>
      <c r="F56" s="877"/>
      <c r="G56" s="877"/>
      <c r="H56" s="868">
        <f>SUM(H50:J55)*39.8%</f>
        <v>8.5789486542864637</v>
      </c>
      <c r="I56" s="868"/>
      <c r="J56" s="868"/>
      <c r="K56" s="145"/>
      <c r="L56" s="145"/>
      <c r="M56" s="145"/>
      <c r="N56" s="145"/>
      <c r="O56" s="145"/>
    </row>
    <row r="57" spans="1:15" ht="15.75" thickBot="1" x14ac:dyDescent="0.3">
      <c r="A57" s="878" t="s">
        <v>36</v>
      </c>
      <c r="B57" s="878"/>
      <c r="C57" s="878"/>
      <c r="D57" s="878"/>
      <c r="E57" s="879"/>
      <c r="F57" s="880"/>
      <c r="G57" s="881"/>
      <c r="H57" s="869">
        <f>SUM(H50:J56)</f>
        <v>30.134096026865521</v>
      </c>
      <c r="I57" s="869"/>
      <c r="J57" s="869"/>
      <c r="K57" s="145"/>
      <c r="L57" s="145"/>
      <c r="M57" s="145"/>
      <c r="N57" s="145"/>
      <c r="O57" s="145"/>
    </row>
    <row r="58" spans="1:15" ht="15.75" thickBot="1" x14ac:dyDescent="0.3">
      <c r="A58" s="507" t="s">
        <v>127</v>
      </c>
      <c r="B58" s="508"/>
      <c r="C58" s="508"/>
      <c r="D58" s="508"/>
      <c r="E58" s="508"/>
      <c r="F58" s="508"/>
      <c r="G58" s="508"/>
      <c r="H58" s="508"/>
      <c r="I58" s="508"/>
      <c r="J58" s="509"/>
      <c r="K58" s="136"/>
    </row>
    <row r="59" spans="1:15" ht="32.25" customHeight="1" x14ac:dyDescent="0.25">
      <c r="A59" s="962" t="s">
        <v>2</v>
      </c>
      <c r="B59" s="963"/>
      <c r="C59" s="454" t="s">
        <v>64</v>
      </c>
      <c r="D59" s="455"/>
      <c r="E59" s="150"/>
      <c r="F59" s="151"/>
      <c r="G59" s="152"/>
      <c r="H59" s="870">
        <f>((((E13+(E13/3))*0.3333)/12)*2%)</f>
        <v>1.3441719421811649</v>
      </c>
      <c r="I59" s="871"/>
      <c r="J59" s="455"/>
      <c r="K59" s="145"/>
      <c r="L59" s="145"/>
      <c r="M59" s="145"/>
      <c r="N59" s="145"/>
      <c r="O59" s="145"/>
    </row>
    <row r="60" spans="1:15" ht="48" customHeight="1" x14ac:dyDescent="0.25">
      <c r="A60" s="962" t="s">
        <v>7</v>
      </c>
      <c r="B60" s="963"/>
      <c r="C60" s="454" t="s">
        <v>65</v>
      </c>
      <c r="D60" s="455"/>
      <c r="E60" s="150"/>
      <c r="F60" s="151"/>
      <c r="G60" s="152"/>
      <c r="H60" s="870">
        <f>H59*39.8%</f>
        <v>0.5349804329881036</v>
      </c>
      <c r="I60" s="871"/>
      <c r="J60" s="455"/>
      <c r="K60" s="145"/>
      <c r="L60" s="145"/>
      <c r="M60" s="145"/>
      <c r="N60" s="145"/>
      <c r="O60" s="145"/>
    </row>
    <row r="61" spans="1:15" ht="42.75" customHeight="1" x14ac:dyDescent="0.25">
      <c r="A61" s="962" t="s">
        <v>8</v>
      </c>
      <c r="B61" s="963"/>
      <c r="C61" s="454" t="s">
        <v>66</v>
      </c>
      <c r="D61" s="455"/>
      <c r="E61" s="873"/>
      <c r="F61" s="874"/>
      <c r="G61" s="875"/>
      <c r="H61" s="868">
        <f>(((E13+H18)*0.333)*2%)*39.8%</f>
        <v>5.2112039491715274</v>
      </c>
      <c r="I61" s="868"/>
      <c r="J61" s="868"/>
      <c r="K61" s="145"/>
      <c r="L61" s="145"/>
      <c r="M61" s="145"/>
      <c r="N61" s="145"/>
      <c r="O61" s="145"/>
    </row>
    <row r="62" spans="1:15" x14ac:dyDescent="0.25">
      <c r="A62" s="964" t="s">
        <v>9</v>
      </c>
      <c r="B62" s="964"/>
      <c r="C62" s="284" t="s">
        <v>67</v>
      </c>
      <c r="D62" s="286"/>
      <c r="E62" s="877"/>
      <c r="F62" s="877"/>
      <c r="G62" s="877"/>
      <c r="H62" s="868"/>
      <c r="I62" s="868"/>
      <c r="J62" s="868"/>
      <c r="K62" s="145"/>
      <c r="L62" s="145"/>
      <c r="M62" s="145"/>
      <c r="N62" s="145"/>
      <c r="O62" s="145"/>
    </row>
    <row r="63" spans="1:15" ht="15.75" customHeight="1" thickBot="1" x14ac:dyDescent="0.3">
      <c r="A63" s="981" t="s">
        <v>36</v>
      </c>
      <c r="B63" s="982"/>
      <c r="C63" s="982"/>
      <c r="D63" s="983"/>
      <c r="E63" s="984"/>
      <c r="F63" s="985"/>
      <c r="G63" s="986"/>
      <c r="H63" s="869">
        <f>SUM(H59:J62)</f>
        <v>7.0903563243407959</v>
      </c>
      <c r="I63" s="869"/>
      <c r="J63" s="869"/>
      <c r="K63" s="145"/>
      <c r="L63" s="145"/>
      <c r="M63" s="145"/>
      <c r="N63" s="145"/>
      <c r="O63" s="145"/>
    </row>
    <row r="64" spans="1:15" ht="15.75" thickBot="1" x14ac:dyDescent="0.3">
      <c r="A64" s="507" t="s">
        <v>126</v>
      </c>
      <c r="B64" s="508"/>
      <c r="C64" s="508"/>
      <c r="D64" s="508"/>
      <c r="E64" s="508"/>
      <c r="F64" s="508"/>
      <c r="G64" s="508"/>
      <c r="H64" s="508"/>
      <c r="I64" s="508"/>
      <c r="J64" s="509"/>
      <c r="K64" s="136"/>
    </row>
    <row r="65" spans="1:15" ht="29.25" customHeight="1" x14ac:dyDescent="0.25">
      <c r="A65" s="962" t="s">
        <v>2</v>
      </c>
      <c r="B65" s="963"/>
      <c r="C65" s="454" t="s">
        <v>69</v>
      </c>
      <c r="D65" s="455"/>
      <c r="E65" s="150"/>
      <c r="F65" s="151"/>
      <c r="G65" s="152"/>
      <c r="H65" s="870">
        <f>((((E19+(E19/3))*0.3333)/12)*2%)</f>
        <v>8.9620666666666654E-5</v>
      </c>
      <c r="I65" s="871"/>
      <c r="J65" s="455"/>
      <c r="K65" s="145"/>
      <c r="L65" s="145"/>
      <c r="M65" s="145"/>
      <c r="N65" s="145"/>
      <c r="O65" s="145"/>
    </row>
    <row r="66" spans="1:15" ht="29.25" customHeight="1" x14ac:dyDescent="0.25">
      <c r="A66" s="962" t="s">
        <v>7</v>
      </c>
      <c r="B66" s="963"/>
      <c r="C66" s="454" t="s">
        <v>70</v>
      </c>
      <c r="D66" s="455"/>
      <c r="E66" s="150"/>
      <c r="F66" s="151"/>
      <c r="G66" s="152"/>
      <c r="H66" s="870">
        <f>H65*39.8%</f>
        <v>3.5669025333333325E-5</v>
      </c>
      <c r="I66" s="871"/>
      <c r="J66" s="455"/>
      <c r="K66" s="145"/>
      <c r="L66" s="145"/>
      <c r="M66" s="145"/>
      <c r="N66" s="145"/>
      <c r="O66" s="145"/>
    </row>
    <row r="67" spans="1:15" ht="15.75" thickBot="1" x14ac:dyDescent="0.3">
      <c r="A67" s="872" t="s">
        <v>36</v>
      </c>
      <c r="B67" s="872"/>
      <c r="C67" s="872"/>
      <c r="D67" s="872"/>
      <c r="E67" s="864"/>
      <c r="F67" s="865"/>
      <c r="G67" s="866"/>
      <c r="H67" s="867">
        <f>SUM(H65:J66)</f>
        <v>1.2528969199999997E-4</v>
      </c>
      <c r="I67" s="867"/>
      <c r="J67" s="867"/>
      <c r="K67" s="145"/>
      <c r="L67" s="145"/>
      <c r="M67" s="145"/>
      <c r="N67" s="145"/>
      <c r="O67" s="145"/>
    </row>
    <row r="68" spans="1:15" ht="15.75" thickBot="1" x14ac:dyDescent="0.3">
      <c r="A68" s="882" t="s">
        <v>71</v>
      </c>
      <c r="B68" s="883"/>
      <c r="C68" s="883"/>
      <c r="D68" s="947"/>
      <c r="E68" s="938">
        <f>H67+H63+H57</f>
        <v>37.224577640898318</v>
      </c>
      <c r="F68" s="885"/>
      <c r="G68" s="885"/>
      <c r="H68" s="885"/>
      <c r="I68" s="885"/>
      <c r="J68" s="886"/>
      <c r="K68" s="145"/>
      <c r="L68" s="145"/>
      <c r="M68" s="145"/>
      <c r="N68" s="145"/>
      <c r="O68" s="145"/>
    </row>
    <row r="69" spans="1:15" ht="9.75" customHeight="1" thickBot="1" x14ac:dyDescent="0.3">
      <c r="A69" s="144"/>
      <c r="B69" s="144"/>
      <c r="C69" s="144"/>
      <c r="D69" s="144"/>
      <c r="E69" s="154"/>
      <c r="F69" s="154"/>
      <c r="G69" s="154"/>
      <c r="H69" s="144"/>
      <c r="I69" s="144"/>
      <c r="J69" s="144"/>
      <c r="K69" s="145"/>
      <c r="L69" s="145"/>
      <c r="M69" s="145"/>
      <c r="N69" s="145"/>
      <c r="O69" s="145"/>
    </row>
    <row r="70" spans="1:15" ht="26.25" customHeight="1" thickBot="1" x14ac:dyDescent="0.3">
      <c r="A70" s="507" t="s">
        <v>73</v>
      </c>
      <c r="B70" s="508"/>
      <c r="C70" s="508"/>
      <c r="D70" s="508"/>
      <c r="E70" s="508"/>
      <c r="F70" s="508"/>
      <c r="G70" s="508"/>
      <c r="H70" s="508"/>
      <c r="I70" s="508"/>
      <c r="J70" s="509"/>
      <c r="K70" s="136"/>
    </row>
    <row r="71" spans="1:15" x14ac:dyDescent="0.25">
      <c r="A71" s="962" t="s">
        <v>2</v>
      </c>
      <c r="B71" s="963"/>
      <c r="C71" s="454" t="s">
        <v>74</v>
      </c>
      <c r="D71" s="455"/>
      <c r="E71" s="892"/>
      <c r="F71" s="890"/>
      <c r="G71" s="891"/>
      <c r="H71" s="870">
        <v>200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7</v>
      </c>
      <c r="B72" s="963"/>
      <c r="C72" s="454" t="s">
        <v>75</v>
      </c>
      <c r="D72" s="455"/>
      <c r="E72" s="150"/>
      <c r="F72" s="151"/>
      <c r="G72" s="152"/>
      <c r="H72" s="870">
        <v>50</v>
      </c>
      <c r="I72" s="871"/>
      <c r="J72" s="455"/>
      <c r="K72" s="145"/>
      <c r="L72" s="145"/>
      <c r="M72" s="145"/>
      <c r="N72" s="145"/>
      <c r="O72" s="145"/>
    </row>
    <row r="73" spans="1:15" x14ac:dyDescent="0.25">
      <c r="A73" s="962" t="s">
        <v>8</v>
      </c>
      <c r="B73" s="963"/>
      <c r="C73" s="320" t="s">
        <v>76</v>
      </c>
      <c r="D73" s="321"/>
      <c r="E73" s="873"/>
      <c r="F73" s="874"/>
      <c r="G73" s="875"/>
      <c r="H73" s="868"/>
      <c r="I73" s="868"/>
      <c r="J73" s="868"/>
      <c r="K73" s="145"/>
      <c r="L73" s="145"/>
      <c r="M73" s="145"/>
      <c r="N73" s="145"/>
      <c r="O73" s="145"/>
    </row>
    <row r="74" spans="1:15" ht="15.75" thickBot="1" x14ac:dyDescent="0.3">
      <c r="A74" s="965" t="s">
        <v>9</v>
      </c>
      <c r="B74" s="965"/>
      <c r="C74" s="526" t="s">
        <v>28</v>
      </c>
      <c r="D74" s="528"/>
      <c r="E74" s="887"/>
      <c r="F74" s="887"/>
      <c r="G74" s="887"/>
      <c r="H74" s="888">
        <v>4.5</v>
      </c>
      <c r="I74" s="888"/>
      <c r="J74" s="888"/>
      <c r="K74" s="145"/>
      <c r="L74" s="145"/>
      <c r="M74" s="145"/>
      <c r="N74" s="145"/>
      <c r="O74" s="145"/>
    </row>
    <row r="75" spans="1:15" ht="15" customHeight="1" thickBot="1" x14ac:dyDescent="0.3">
      <c r="A75" s="507" t="s">
        <v>320</v>
      </c>
      <c r="B75" s="508"/>
      <c r="C75" s="508"/>
      <c r="D75" s="508"/>
      <c r="E75" s="508"/>
      <c r="F75" s="508"/>
      <c r="G75" s="509"/>
      <c r="H75" s="987">
        <f>SUM(H71:J74)</f>
        <v>254.5</v>
      </c>
      <c r="I75" s="895"/>
      <c r="J75" s="896"/>
      <c r="K75" s="145"/>
      <c r="L75" s="145"/>
      <c r="M75" s="145"/>
      <c r="N75" s="145"/>
      <c r="O75" s="145"/>
    </row>
    <row r="76" spans="1:15" ht="9.75" customHeight="1" thickBot="1" x14ac:dyDescent="0.3">
      <c r="A76" s="147"/>
      <c r="B76" s="147"/>
      <c r="C76" s="143"/>
      <c r="D76" s="143"/>
      <c r="E76" s="153"/>
      <c r="F76" s="153"/>
      <c r="G76" s="153"/>
      <c r="H76" s="166"/>
      <c r="I76" s="166"/>
      <c r="J76" s="166"/>
      <c r="K76" s="145"/>
      <c r="L76" s="145"/>
      <c r="M76" s="145"/>
      <c r="N76" s="145"/>
      <c r="O76" s="145"/>
    </row>
    <row r="77" spans="1:15" ht="27" customHeight="1" thickBot="1" x14ac:dyDescent="0.3">
      <c r="A77" s="507" t="s">
        <v>84</v>
      </c>
      <c r="B77" s="508"/>
      <c r="C77" s="508"/>
      <c r="D77" s="508"/>
      <c r="E77" s="508"/>
      <c r="F77" s="508"/>
      <c r="G77" s="508"/>
      <c r="H77" s="508"/>
      <c r="I77" s="508"/>
      <c r="J77" s="509"/>
      <c r="K77" s="136"/>
    </row>
    <row r="78" spans="1:15" x14ac:dyDescent="0.25">
      <c r="A78" s="962" t="s">
        <v>2</v>
      </c>
      <c r="B78" s="963"/>
      <c r="C78" s="454" t="s">
        <v>77</v>
      </c>
      <c r="D78" s="455"/>
      <c r="E78" s="889">
        <v>7.0000000000000007E-2</v>
      </c>
      <c r="F78" s="890"/>
      <c r="G78" s="891"/>
      <c r="H78" s="870">
        <f>(H75+E68+H47+E38+E13)*E78</f>
        <v>244.6051685485734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7</v>
      </c>
      <c r="B79" s="963"/>
      <c r="C79" s="454" t="s">
        <v>12</v>
      </c>
      <c r="D79" s="455"/>
      <c r="E79" s="889">
        <v>7.577530628885254E-2</v>
      </c>
      <c r="F79" s="890"/>
      <c r="G79" s="891"/>
      <c r="H79" s="870">
        <f>E79*(H75+E68+H47+E38+E13)</f>
        <v>264.78616523720785</v>
      </c>
      <c r="I79" s="871"/>
      <c r="J79" s="455"/>
      <c r="K79" s="145"/>
      <c r="L79" s="145"/>
      <c r="M79" s="145"/>
      <c r="N79" s="145"/>
      <c r="O79" s="145"/>
    </row>
    <row r="80" spans="1:15" x14ac:dyDescent="0.25">
      <c r="A80" s="962" t="s">
        <v>8</v>
      </c>
      <c r="B80" s="963"/>
      <c r="C80" s="320" t="s">
        <v>78</v>
      </c>
      <c r="D80" s="321"/>
      <c r="E80" s="944">
        <v>0.85750000000000004</v>
      </c>
      <c r="F80" s="945"/>
      <c r="G80" s="946"/>
      <c r="H80" s="868">
        <f>(H75+E68+H47+E38+E13)/E80</f>
        <v>4075.054869613884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79</v>
      </c>
      <c r="D81" s="286"/>
      <c r="E81" s="877">
        <v>1.6500000000000001E-2</v>
      </c>
      <c r="F81" s="877"/>
      <c r="G81" s="877"/>
      <c r="H81" s="868">
        <f>E81*D89</f>
        <v>48.105255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9</v>
      </c>
      <c r="B82" s="964"/>
      <c r="C82" s="284" t="s">
        <v>80</v>
      </c>
      <c r="D82" s="286"/>
      <c r="E82" s="877">
        <v>7.5999999999999998E-2</v>
      </c>
      <c r="F82" s="877"/>
      <c r="G82" s="877"/>
      <c r="H82" s="868">
        <f>E82*D89</f>
        <v>221.57571999999999</v>
      </c>
      <c r="I82" s="868"/>
      <c r="J82" s="868"/>
      <c r="K82" s="145"/>
      <c r="L82" s="145"/>
      <c r="M82" s="145"/>
      <c r="N82" s="145"/>
      <c r="O82" s="145"/>
    </row>
    <row r="83" spans="1:15" x14ac:dyDescent="0.25">
      <c r="A83" s="964" t="s">
        <v>10</v>
      </c>
      <c r="B83" s="964"/>
      <c r="C83" s="284" t="s">
        <v>81</v>
      </c>
      <c r="D83" s="286"/>
      <c r="E83" s="877"/>
      <c r="F83" s="877"/>
      <c r="G83" s="877"/>
      <c r="H83" s="868"/>
      <c r="I83" s="868"/>
      <c r="J83" s="868"/>
      <c r="K83" s="145"/>
      <c r="L83" s="145"/>
      <c r="M83" s="145"/>
      <c r="N83" s="145"/>
      <c r="O83" s="145"/>
    </row>
    <row r="84" spans="1:15" ht="15.75" thickBot="1" x14ac:dyDescent="0.3">
      <c r="A84" s="965" t="s">
        <v>11</v>
      </c>
      <c r="B84" s="965"/>
      <c r="C84" s="526" t="s">
        <v>82</v>
      </c>
      <c r="D84" s="528"/>
      <c r="E84" s="887">
        <v>0.05</v>
      </c>
      <c r="F84" s="887"/>
      <c r="G84" s="887"/>
      <c r="H84" s="888">
        <f>E84*D89</f>
        <v>145.77349999999998</v>
      </c>
      <c r="I84" s="888"/>
      <c r="J84" s="888"/>
      <c r="K84" s="145"/>
      <c r="L84" s="145"/>
      <c r="M84" s="145"/>
      <c r="N84" s="145"/>
      <c r="O84" s="145"/>
    </row>
    <row r="85" spans="1:15" ht="15" customHeight="1" thickBot="1" x14ac:dyDescent="0.3">
      <c r="A85" s="507" t="s">
        <v>321</v>
      </c>
      <c r="B85" s="508"/>
      <c r="C85" s="508"/>
      <c r="D85" s="508"/>
      <c r="E85" s="508"/>
      <c r="F85" s="508"/>
      <c r="G85" s="508"/>
      <c r="H85" s="894">
        <f>H78+H79+H81+H82+H84</f>
        <v>924.8458087857814</v>
      </c>
      <c r="I85" s="895"/>
      <c r="J85" s="896"/>
    </row>
    <row r="86" spans="1:15" ht="11.25" customHeight="1" thickBot="1" x14ac:dyDescent="0.3">
      <c r="A86" s="147"/>
      <c r="B86" s="147"/>
      <c r="C86" s="143"/>
      <c r="D86" s="143"/>
      <c r="E86" s="153"/>
      <c r="F86" s="153"/>
      <c r="G86" s="153"/>
      <c r="H86" s="166"/>
      <c r="I86" s="166"/>
      <c r="J86" s="166"/>
    </row>
    <row r="87" spans="1:15" ht="15.75" thickBot="1" x14ac:dyDescent="0.3">
      <c r="A87" s="939" t="s">
        <v>85</v>
      </c>
      <c r="B87" s="940"/>
      <c r="C87" s="940"/>
      <c r="D87" s="940"/>
      <c r="E87" s="940"/>
      <c r="F87" s="940"/>
      <c r="G87" s="948"/>
      <c r="H87" s="941">
        <f>SUM(H85+H75+E68+H47+E38+E13)</f>
        <v>4419.2053594796871</v>
      </c>
      <c r="I87" s="942"/>
      <c r="J87" s="943"/>
    </row>
    <row r="88" spans="1:15" x14ac:dyDescent="0.25">
      <c r="A88" s="145"/>
      <c r="B88" s="145"/>
      <c r="C88" s="145"/>
      <c r="D88" s="145"/>
      <c r="E88" s="133"/>
      <c r="F88" s="133"/>
      <c r="G88" s="133"/>
      <c r="H88" s="145"/>
      <c r="I88" s="145"/>
      <c r="J88" s="145"/>
    </row>
    <row r="89" spans="1:15" ht="15.75" thickBot="1" x14ac:dyDescent="0.3">
      <c r="D89" s="167">
        <v>2915.47</v>
      </c>
    </row>
  </sheetData>
  <mergeCells count="232">
    <mergeCell ref="A1:J1"/>
    <mergeCell ref="A75:G75"/>
    <mergeCell ref="A85:G85"/>
    <mergeCell ref="A47:G47"/>
    <mergeCell ref="A87:G87"/>
    <mergeCell ref="H87:J87"/>
    <mergeCell ref="B10:D10"/>
    <mergeCell ref="E10:J10"/>
    <mergeCell ref="A84:B84"/>
    <mergeCell ref="C84:D84"/>
    <mergeCell ref="E84:G84"/>
    <mergeCell ref="H84:J84"/>
    <mergeCell ref="H85:J85"/>
    <mergeCell ref="A82:B82"/>
    <mergeCell ref="C82:D82"/>
    <mergeCell ref="E82:G82"/>
    <mergeCell ref="H82:J82"/>
    <mergeCell ref="A83:B83"/>
    <mergeCell ref="C83:D83"/>
    <mergeCell ref="E83:G83"/>
    <mergeCell ref="H83:J83"/>
    <mergeCell ref="A80:B80"/>
    <mergeCell ref="C80:D80"/>
    <mergeCell ref="E80:G80"/>
    <mergeCell ref="H80:J80"/>
    <mergeCell ref="A81:B81"/>
    <mergeCell ref="C81:D81"/>
    <mergeCell ref="E81:G81"/>
    <mergeCell ref="H81:J81"/>
    <mergeCell ref="A77:J77"/>
    <mergeCell ref="A78:B78"/>
    <mergeCell ref="C78:D78"/>
    <mergeCell ref="E78:G78"/>
    <mergeCell ref="H78:J78"/>
    <mergeCell ref="A79:B79"/>
    <mergeCell ref="C79:D79"/>
    <mergeCell ref="E79:G79"/>
    <mergeCell ref="H79:J79"/>
    <mergeCell ref="A74:B74"/>
    <mergeCell ref="C74:D74"/>
    <mergeCell ref="E74:G74"/>
    <mergeCell ref="H74:J74"/>
    <mergeCell ref="H75:J75"/>
    <mergeCell ref="A72:B72"/>
    <mergeCell ref="C72:D72"/>
    <mergeCell ref="H72:J72"/>
    <mergeCell ref="A73:B73"/>
    <mergeCell ref="C73:D73"/>
    <mergeCell ref="E73:G73"/>
    <mergeCell ref="H73:J73"/>
    <mergeCell ref="A68:D68"/>
    <mergeCell ref="E68:J68"/>
    <mergeCell ref="A70:J70"/>
    <mergeCell ref="A71:B71"/>
    <mergeCell ref="C71:D71"/>
    <mergeCell ref="E71:G71"/>
    <mergeCell ref="H71:J71"/>
    <mergeCell ref="A66:B66"/>
    <mergeCell ref="C66:D66"/>
    <mergeCell ref="H66:J66"/>
    <mergeCell ref="A67:D67"/>
    <mergeCell ref="E67:G67"/>
    <mergeCell ref="H67:J67"/>
    <mergeCell ref="A63:D63"/>
    <mergeCell ref="E63:G63"/>
    <mergeCell ref="H63:J63"/>
    <mergeCell ref="A64:J64"/>
    <mergeCell ref="A65:B65"/>
    <mergeCell ref="C65:D65"/>
    <mergeCell ref="H65:J65"/>
    <mergeCell ref="A61:B61"/>
    <mergeCell ref="C61:D61"/>
    <mergeCell ref="E61:G61"/>
    <mergeCell ref="H61:J61"/>
    <mergeCell ref="A62:B62"/>
    <mergeCell ref="C62:D62"/>
    <mergeCell ref="E62:G62"/>
    <mergeCell ref="H62:J62"/>
    <mergeCell ref="A58:J58"/>
    <mergeCell ref="A59:B59"/>
    <mergeCell ref="C59:D59"/>
    <mergeCell ref="H59:J59"/>
    <mergeCell ref="A60:B60"/>
    <mergeCell ref="C60:D60"/>
    <mergeCell ref="H60:J60"/>
    <mergeCell ref="A56:B56"/>
    <mergeCell ref="C56:D56"/>
    <mergeCell ref="E56:G56"/>
    <mergeCell ref="H56:J56"/>
    <mergeCell ref="A57:D57"/>
    <mergeCell ref="E57:G57"/>
    <mergeCell ref="H57:J57"/>
    <mergeCell ref="A54:B54"/>
    <mergeCell ref="C54:D54"/>
    <mergeCell ref="E54:G54"/>
    <mergeCell ref="H54:J54"/>
    <mergeCell ref="A55:B55"/>
    <mergeCell ref="C55:D55"/>
    <mergeCell ref="E55:G55"/>
    <mergeCell ref="H55:J55"/>
    <mergeCell ref="A52:B52"/>
    <mergeCell ref="C52:D52"/>
    <mergeCell ref="E52:G52"/>
    <mergeCell ref="H52:J52"/>
    <mergeCell ref="A53:B53"/>
    <mergeCell ref="C53:D53"/>
    <mergeCell ref="E53:G53"/>
    <mergeCell ref="H53:J53"/>
    <mergeCell ref="A49:J49"/>
    <mergeCell ref="A50:B50"/>
    <mergeCell ref="C50:D50"/>
    <mergeCell ref="H50:J50"/>
    <mergeCell ref="A51:B51"/>
    <mergeCell ref="C51:D51"/>
    <mergeCell ref="H51:J51"/>
    <mergeCell ref="A46:B46"/>
    <mergeCell ref="C46:D46"/>
    <mergeCell ref="E46:G46"/>
    <mergeCell ref="H46:J46"/>
    <mergeCell ref="H47:J47"/>
    <mergeCell ref="A44:B44"/>
    <mergeCell ref="C44:D44"/>
    <mergeCell ref="E44:G44"/>
    <mergeCell ref="H44:J44"/>
    <mergeCell ref="A45:B45"/>
    <mergeCell ref="C45:D45"/>
    <mergeCell ref="E45:G45"/>
    <mergeCell ref="H45:J45"/>
    <mergeCell ref="A42:B42"/>
    <mergeCell ref="C42:D42"/>
    <mergeCell ref="H42:J42"/>
    <mergeCell ref="A43:B43"/>
    <mergeCell ref="C43:D43"/>
    <mergeCell ref="E43:G43"/>
    <mergeCell ref="H43:J43"/>
    <mergeCell ref="A38:D38"/>
    <mergeCell ref="E38:J38"/>
    <mergeCell ref="A39:J39"/>
    <mergeCell ref="A40:J40"/>
    <mergeCell ref="A41:B41"/>
    <mergeCell ref="C41:D41"/>
    <mergeCell ref="H41:J41"/>
    <mergeCell ref="A36:B36"/>
    <mergeCell ref="C36:D36"/>
    <mergeCell ref="E36:G36"/>
    <mergeCell ref="H36:J36"/>
    <mergeCell ref="A37:G37"/>
    <mergeCell ref="H37:J37"/>
    <mergeCell ref="A34:B34"/>
    <mergeCell ref="C34:D34"/>
    <mergeCell ref="E34:G34"/>
    <mergeCell ref="H34:J34"/>
    <mergeCell ref="A35:B35"/>
    <mergeCell ref="C35:D35"/>
    <mergeCell ref="E35:G35"/>
    <mergeCell ref="H35:J35"/>
    <mergeCell ref="A31:D31"/>
    <mergeCell ref="E31:G31"/>
    <mergeCell ref="H31:J31"/>
    <mergeCell ref="A32:J32"/>
    <mergeCell ref="A33:B33"/>
    <mergeCell ref="C33:D33"/>
    <mergeCell ref="E33:G33"/>
    <mergeCell ref="H33:J33"/>
    <mergeCell ref="A29:B29"/>
    <mergeCell ref="C29:D29"/>
    <mergeCell ref="E29:G29"/>
    <mergeCell ref="H29:J29"/>
    <mergeCell ref="A30:B30"/>
    <mergeCell ref="C30:D30"/>
    <mergeCell ref="E30:G30"/>
    <mergeCell ref="H30:J30"/>
    <mergeCell ref="A27:B27"/>
    <mergeCell ref="C27:D27"/>
    <mergeCell ref="E27:G27"/>
    <mergeCell ref="H27:J27"/>
    <mergeCell ref="A28:B28"/>
    <mergeCell ref="C28:D28"/>
    <mergeCell ref="E28:G28"/>
    <mergeCell ref="H28:J28"/>
    <mergeCell ref="A25:B25"/>
    <mergeCell ref="C25:D25"/>
    <mergeCell ref="E25:G25"/>
    <mergeCell ref="H25:J25"/>
    <mergeCell ref="A26:B26"/>
    <mergeCell ref="C26:D26"/>
    <mergeCell ref="E26:G26"/>
    <mergeCell ref="H26:J26"/>
    <mergeCell ref="A22:J22"/>
    <mergeCell ref="A23:B23"/>
    <mergeCell ref="C23:D23"/>
    <mergeCell ref="E23:G23"/>
    <mergeCell ref="H23:J23"/>
    <mergeCell ref="A24:B24"/>
    <mergeCell ref="C24:D24"/>
    <mergeCell ref="E24:G24"/>
    <mergeCell ref="H24:J24"/>
    <mergeCell ref="B19:D19"/>
    <mergeCell ref="E19:G19"/>
    <mergeCell ref="H19:J19"/>
    <mergeCell ref="A20:G20"/>
    <mergeCell ref="H20:J20"/>
    <mergeCell ref="B21:D21"/>
    <mergeCell ref="E21:G21"/>
    <mergeCell ref="H21:J21"/>
    <mergeCell ref="A14:D14"/>
    <mergeCell ref="E14:J14"/>
    <mergeCell ref="A15:J15"/>
    <mergeCell ref="A16:J16"/>
    <mergeCell ref="A17:J17"/>
    <mergeCell ref="B18:D18"/>
    <mergeCell ref="E18:G18"/>
    <mergeCell ref="H18:J18"/>
    <mergeCell ref="B12:D12"/>
    <mergeCell ref="E12:J12"/>
    <mergeCell ref="A13:D13"/>
    <mergeCell ref="E13:J13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1:D11"/>
    <mergeCell ref="E11:J11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4659260841701"/>
  </sheetPr>
  <dimension ref="A1:O88"/>
  <sheetViews>
    <sheetView topLeftCell="A67" workbookViewId="0">
      <selection activeCell="P80" sqref="P80"/>
    </sheetView>
  </sheetViews>
  <sheetFormatPr defaultRowHeight="15" x14ac:dyDescent="0.25"/>
  <cols>
    <col min="1" max="1" width="6.7109375" style="146" customWidth="1"/>
    <col min="2" max="2" width="3.5703125" style="146" customWidth="1"/>
    <col min="3" max="3" width="10" style="134" customWidth="1"/>
    <col min="4" max="4" width="40.7109375" style="134" customWidth="1"/>
    <col min="5" max="7" width="3" style="116" customWidth="1"/>
    <col min="8" max="8" width="3.7109375" style="134" customWidth="1"/>
    <col min="9" max="9" width="1.5703125" style="134" customWidth="1"/>
    <col min="10" max="10" width="8.42578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386</v>
      </c>
      <c r="E2" s="738"/>
      <c r="F2" s="738"/>
      <c r="G2" s="738"/>
      <c r="H2" s="738"/>
      <c r="I2" s="738"/>
      <c r="J2" s="739"/>
      <c r="K2" s="136"/>
    </row>
    <row r="3" spans="1:15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2079.8000000000002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/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6.5" customHeight="1" thickBot="1" x14ac:dyDescent="0.3">
      <c r="A11" s="141" t="s">
        <v>11</v>
      </c>
      <c r="B11" s="609" t="s">
        <v>161</v>
      </c>
      <c r="C11" s="610"/>
      <c r="D11" s="611"/>
      <c r="E11" s="950"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.75" thickBot="1" x14ac:dyDescent="0.3">
      <c r="A12" s="882" t="s">
        <v>330</v>
      </c>
      <c r="B12" s="883"/>
      <c r="C12" s="883"/>
      <c r="D12" s="925"/>
      <c r="E12" s="894">
        <f>SUM(E6:J11)</f>
        <v>2497.8000000000002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7" customHeight="1" x14ac:dyDescent="0.25">
      <c r="A13" s="551" t="s">
        <v>29</v>
      </c>
      <c r="B13" s="715"/>
      <c r="C13" s="715"/>
      <c r="D13" s="716"/>
      <c r="E13" s="926">
        <f>E12*E30</f>
        <v>919.19040000000018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0.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208.06674000000001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302.23380000000003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510.30054000000007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195.32796000000002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601.62010800000007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75.202513500000009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90.243016200000014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45.121508100000007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30.081005400000006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18.048603240000002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6.016201080000001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240.64804320000005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1106.9809987200001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(3.9*2*16)-6%*E6</f>
        <v>1.1999999999986244E-2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25.961999999999986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25"/>
      <c r="E37" s="938">
        <f>H19+H30+H36</f>
        <v>1643.2435387200003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0.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10.407500000000001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0.83260000000000012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48.568333333333335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19.330196666666666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124.89000000000001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8"/>
      <c r="H46" s="894">
        <f>SUM(H40:J45)</f>
        <v>204.02863000000002</v>
      </c>
      <c r="I46" s="895"/>
      <c r="J46" s="896"/>
      <c r="K46" s="145"/>
      <c r="L46" s="145"/>
      <c r="M46" s="145"/>
      <c r="N46" s="145"/>
      <c r="O46" s="145"/>
    </row>
    <row r="47" spans="1:15" ht="8.2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371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6.9383333333333335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0.52037500000000003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8.3260000000000005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13.876666666666669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11.806913111666667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41.472523945000006</v>
      </c>
      <c r="I56" s="869"/>
      <c r="J56" s="869"/>
      <c r="K56" s="145"/>
      <c r="L56" s="145"/>
      <c r="M56" s="145"/>
      <c r="N56" s="145"/>
      <c r="O56" s="145"/>
    </row>
    <row r="57" spans="1:15" ht="30" customHeight="1" thickBot="1" x14ac:dyDescent="0.3">
      <c r="A57" s="507" t="s">
        <v>424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1.8500372000000003</v>
      </c>
      <c r="I58" s="871"/>
      <c r="J58" s="455"/>
      <c r="K58" s="145"/>
      <c r="L58" s="145"/>
      <c r="M58" s="145"/>
      <c r="N58" s="145"/>
      <c r="O58" s="145"/>
    </row>
    <row r="59" spans="1:15" ht="4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0.73631480560000007</v>
      </c>
      <c r="I59" s="871"/>
      <c r="J59" s="455"/>
      <c r="K59" s="145"/>
      <c r="L59" s="145"/>
      <c r="M59" s="145"/>
      <c r="N59" s="145"/>
      <c r="O59" s="145"/>
    </row>
    <row r="60" spans="1:15" ht="43.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7.1723868503832016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9.7587388559832018</v>
      </c>
      <c r="I62" s="869"/>
      <c r="J62" s="869"/>
      <c r="K62" s="145"/>
      <c r="L62" s="145"/>
      <c r="M62" s="145"/>
      <c r="N62" s="145"/>
      <c r="O62" s="145"/>
    </row>
    <row r="63" spans="1:15" ht="30" customHeight="1" thickBot="1" x14ac:dyDescent="0.3">
      <c r="A63" s="507" t="s">
        <v>428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25"/>
      <c r="E67" s="938">
        <f>H66+H62+H56</f>
        <v>51.23138809067521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0.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8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9.7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335.04124897674728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362.68361800875323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5581.6951099832941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8"/>
      <c r="H84" s="894">
        <f>H77+H78+H80+H81+H83</f>
        <v>1236.7510669855005</v>
      </c>
      <c r="I84" s="895"/>
      <c r="J84" s="896"/>
    </row>
    <row r="85" spans="1:15" ht="10.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941">
        <f>SUM(H84+H74+E67+H46+E37+E12)</f>
        <v>6023.0546237961762</v>
      </c>
      <c r="I86" s="942"/>
      <c r="J86" s="943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49995422223578601"/>
  </sheetPr>
  <dimension ref="A1:O88"/>
  <sheetViews>
    <sheetView topLeftCell="A58" workbookViewId="0">
      <selection activeCell="K82" sqref="K82"/>
    </sheetView>
  </sheetViews>
  <sheetFormatPr defaultRowHeight="15" x14ac:dyDescent="0.25"/>
  <cols>
    <col min="1" max="1" width="6.7109375" style="146" customWidth="1"/>
    <col min="2" max="2" width="3.42578125" style="146" customWidth="1"/>
    <col min="3" max="3" width="11.140625" style="134" customWidth="1"/>
    <col min="4" max="4" width="39.85546875" style="134" customWidth="1"/>
    <col min="5" max="7" width="3.140625" style="116" customWidth="1"/>
    <col min="8" max="8" width="3.7109375" style="134" customWidth="1"/>
    <col min="9" max="9" width="1.57031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387</v>
      </c>
      <c r="E2" s="738"/>
      <c r="F2" s="738"/>
      <c r="G2" s="738"/>
      <c r="H2" s="738"/>
      <c r="I2" s="738"/>
      <c r="J2" s="739"/>
      <c r="K2" s="136"/>
    </row>
    <row r="3" spans="1:15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2079.8000000000002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>
        <f>(((E6/220*40%)*9)*16)</f>
        <v>544.52945454545466</v>
      </c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/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" customHeight="1" thickBot="1" x14ac:dyDescent="0.3">
      <c r="A11" s="141" t="s">
        <v>11</v>
      </c>
      <c r="B11" s="609" t="s">
        <v>161</v>
      </c>
      <c r="C11" s="610"/>
      <c r="D11" s="611"/>
      <c r="E11" s="950"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25"/>
      <c r="E12" s="894">
        <f>SUM(E6:J11)</f>
        <v>3042.3294545454546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8.5" customHeight="1" x14ac:dyDescent="0.25">
      <c r="A13" s="551" t="s">
        <v>29</v>
      </c>
      <c r="B13" s="715"/>
      <c r="C13" s="715"/>
      <c r="D13" s="716"/>
      <c r="E13" s="926">
        <f>E12*E30</f>
        <v>1119.5772392727274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1.2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389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253.42604356363637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368.12186400000002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621.54790756363639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237.91016334545458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732.77547242181822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91.596934052727278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109.91632086327272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54.958160431636358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36.638773621090913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21.983264172654547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7.327754724218182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293.1101889687273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1348.3068692561455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(3.9*2*16)-6%*E6</f>
        <v>1.1999999999986244E-2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25.961999999999986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25"/>
      <c r="E37" s="938">
        <f>H19+H30+H36</f>
        <v>1995.8167768197818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1.2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.75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12.676372727272728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1.0141098181818182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59.156406060606066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23.544249612121213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152.11647272727274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9"/>
      <c r="H46" s="894">
        <f>SUM(H40:J45)</f>
        <v>248.50761094545456</v>
      </c>
      <c r="I46" s="895"/>
      <c r="J46" s="896"/>
      <c r="K46" s="145"/>
      <c r="L46" s="145"/>
      <c r="M46" s="145"/>
      <c r="N46" s="145"/>
      <c r="O46" s="145"/>
    </row>
    <row r="47" spans="1:15" ht="9.7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8.4509151515151526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0.63381863636363645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10.141098181818183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16.901830303030305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14.380495446212121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50.512393552272734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2.253352016</v>
      </c>
      <c r="I58" s="871"/>
      <c r="J58" s="455"/>
      <c r="K58" s="145"/>
      <c r="L58" s="145"/>
      <c r="M58" s="145"/>
      <c r="N58" s="145"/>
      <c r="O58" s="145"/>
    </row>
    <row r="59" spans="1:15" ht="49.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0.89683410236799987</v>
      </c>
      <c r="I59" s="871"/>
      <c r="J59" s="455"/>
      <c r="K59" s="145"/>
      <c r="L59" s="145"/>
      <c r="M59" s="145"/>
      <c r="N59" s="145"/>
      <c r="O59" s="145"/>
    </row>
    <row r="60" spans="1:15" ht="4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8.7359931837278051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11.886179302095805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25"/>
      <c r="E67" s="938">
        <f>H66+H62+H56</f>
        <v>62.398698144060539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1.2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9"/>
      <c r="H74" s="987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10.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401.73367783183267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434.87846406077608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6692.7726419297387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9"/>
      <c r="H84" s="987">
        <f>H77+H78+H80+H81+H83</f>
        <v>1375.6383418926089</v>
      </c>
      <c r="I84" s="895"/>
      <c r="J84" s="896"/>
    </row>
    <row r="85" spans="1:15" ht="11.2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941">
        <f>SUM(H84+H74+E67+H46+E37+E12)</f>
        <v>7114.6908823473605</v>
      </c>
      <c r="I86" s="942"/>
      <c r="J86" s="943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46:G46"/>
    <mergeCell ref="A84:G84"/>
    <mergeCell ref="A74:G7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49995422223578601"/>
  </sheetPr>
  <dimension ref="A1:O88"/>
  <sheetViews>
    <sheetView topLeftCell="A70" workbookViewId="0">
      <selection activeCell="K4" sqref="K4"/>
    </sheetView>
  </sheetViews>
  <sheetFormatPr defaultRowHeight="15" x14ac:dyDescent="0.25"/>
  <cols>
    <col min="1" max="1" width="6.7109375" style="146" customWidth="1"/>
    <col min="2" max="2" width="3.28515625" style="146" customWidth="1"/>
    <col min="3" max="3" width="10.85546875" style="134" customWidth="1"/>
    <col min="4" max="4" width="40.7109375" style="134" customWidth="1"/>
    <col min="5" max="7" width="3" style="116" customWidth="1"/>
    <col min="8" max="8" width="3.7109375" style="134" customWidth="1"/>
    <col min="9" max="9" width="1.57031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224</v>
      </c>
      <c r="E2" s="738"/>
      <c r="F2" s="738"/>
      <c r="G2" s="738"/>
      <c r="H2" s="738"/>
      <c r="I2" s="738"/>
      <c r="J2" s="739"/>
      <c r="K2" s="136"/>
    </row>
    <row r="3" spans="1:15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.75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1399.69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>
        <v>0</v>
      </c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/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" customHeight="1" thickBot="1" x14ac:dyDescent="0.3">
      <c r="A11" s="141" t="s">
        <v>11</v>
      </c>
      <c r="B11" s="609" t="s">
        <v>158</v>
      </c>
      <c r="C11" s="610"/>
      <c r="D11" s="611"/>
      <c r="E11" s="950">
        <f>1045*20%</f>
        <v>209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.75" thickBot="1" x14ac:dyDescent="0.3">
      <c r="A12" s="882" t="s">
        <v>330</v>
      </c>
      <c r="B12" s="883"/>
      <c r="C12" s="883"/>
      <c r="D12" s="925"/>
      <c r="E12" s="894">
        <f>SUM(E6:J11)</f>
        <v>1608.69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32.25" customHeight="1" x14ac:dyDescent="0.25">
      <c r="A13" s="551" t="s">
        <v>29</v>
      </c>
      <c r="B13" s="715"/>
      <c r="C13" s="715"/>
      <c r="D13" s="716"/>
      <c r="E13" s="926">
        <f>E12*E30</f>
        <v>591.99792000000014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9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390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134.00387700000002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194.65149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328.65536700000001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125.79955800000002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387.46907340000007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48.433634175000009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58.120361010000003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29.060180505000002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19.37345367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11.624072202000001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3.8746907340000005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154.98762936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712.94309505600006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(3.9*2*22)-6%*E6</f>
        <v>87.618600000000001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113.5686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25"/>
      <c r="E37" s="938">
        <f>H19+H30+H36</f>
        <v>1155.1670620560001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1.2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6.7028750000000006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0.5362300000000001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31.280083333333337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12.449473166666667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80.434500000000014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333</v>
      </c>
      <c r="B46" s="508"/>
      <c r="C46" s="508"/>
      <c r="D46" s="508"/>
      <c r="E46" s="508"/>
      <c r="F46" s="508"/>
      <c r="G46" s="508"/>
      <c r="H46" s="894">
        <f>SUM(H40:J45)</f>
        <v>131.40316150000001</v>
      </c>
      <c r="I46" s="895"/>
      <c r="J46" s="896"/>
      <c r="K46" s="145"/>
      <c r="L46" s="145"/>
      <c r="M46" s="145"/>
      <c r="N46" s="145"/>
      <c r="O46" s="145"/>
    </row>
    <row r="47" spans="1:15" ht="9.7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371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4.468583333333334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0.33514375000000007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5.3623000000000012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8.937166666666668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7.6047569741666665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26.712186557500001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1.1915030600000001</v>
      </c>
      <c r="I58" s="871"/>
      <c r="J58" s="455"/>
      <c r="K58" s="145"/>
      <c r="L58" s="145"/>
      <c r="M58" s="145"/>
      <c r="N58" s="145"/>
      <c r="O58" s="145"/>
    </row>
    <row r="59" spans="1:15" ht="4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0.47421821787999996</v>
      </c>
      <c r="I59" s="871"/>
      <c r="J59" s="455"/>
      <c r="K59" s="145"/>
      <c r="L59" s="145"/>
      <c r="M59" s="145"/>
      <c r="N59" s="145"/>
      <c r="O59" s="145"/>
    </row>
    <row r="60" spans="1:15" ht="45.7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4.6193238058863608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6.2850450837663612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25"/>
      <c r="E67" s="938">
        <f>H66+H62+H56</f>
        <v>32.997356930958361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1.2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8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9.7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232.27803063408712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251.44198450670604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3869.6881405095723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8"/>
      <c r="H84" s="894">
        <f>H77+H78+H80+H81+H83</f>
        <v>1022.7462151407931</v>
      </c>
      <c r="I84" s="895"/>
      <c r="J84" s="896"/>
    </row>
    <row r="85" spans="1:15" ht="11.2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988">
        <f>SUM(H84+H74+E67+H46+E37+E12)</f>
        <v>4341.003795627752</v>
      </c>
      <c r="I86" s="989"/>
      <c r="J86" s="990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46:G46"/>
    <mergeCell ref="A74:G74"/>
    <mergeCell ref="A84:G8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O88"/>
  <sheetViews>
    <sheetView topLeftCell="A73" workbookViewId="0">
      <selection activeCell="M13" sqref="M13"/>
    </sheetView>
  </sheetViews>
  <sheetFormatPr defaultRowHeight="15" x14ac:dyDescent="0.25"/>
  <cols>
    <col min="1" max="1" width="6.7109375" style="146" customWidth="1"/>
    <col min="2" max="2" width="3" style="146" customWidth="1"/>
    <col min="3" max="3" width="12.140625" style="134" customWidth="1"/>
    <col min="4" max="4" width="39.7109375" style="134" customWidth="1"/>
    <col min="5" max="7" width="3" style="116" customWidth="1"/>
    <col min="8" max="8" width="3.7109375" style="134" customWidth="1"/>
    <col min="9" max="9" width="1.57031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391</v>
      </c>
      <c r="E2" s="738"/>
      <c r="F2" s="738"/>
      <c r="G2" s="738"/>
      <c r="H2" s="738"/>
      <c r="I2" s="738"/>
      <c r="J2" s="739"/>
      <c r="K2" s="136"/>
    </row>
    <row r="3" spans="1:15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1222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>
        <v>0</v>
      </c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/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.75" customHeight="1" thickBot="1" x14ac:dyDescent="0.3">
      <c r="A11" s="141" t="s">
        <v>11</v>
      </c>
      <c r="B11" s="609" t="s">
        <v>161</v>
      </c>
      <c r="C11" s="610"/>
      <c r="D11" s="611"/>
      <c r="E11" s="950">
        <f>1045*40%</f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25"/>
      <c r="E12" s="894">
        <f>SUM(E6:J11)</f>
        <v>1640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32.25" customHeight="1" x14ac:dyDescent="0.25">
      <c r="A13" s="551" t="s">
        <v>29</v>
      </c>
      <c r="B13" s="715"/>
      <c r="C13" s="715"/>
      <c r="D13" s="716"/>
      <c r="E13" s="926">
        <f>E12*E30</f>
        <v>603.5200000000001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9.7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136.61199999999999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198.44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335.05200000000002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128.24800000000002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395.01040000000006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49.376300000000008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59.251560000000005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29.625780000000002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19.750520000000002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11.850312000000001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3.9501040000000005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158.00416000000001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726.81913600000007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(3.9*2*16)-6%*E6</f>
        <v>51.480000000000004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>
        <f>5*16</f>
        <v>80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150</v>
      </c>
      <c r="D34" s="286"/>
      <c r="E34" s="877"/>
      <c r="F34" s="877"/>
      <c r="G34" s="877"/>
      <c r="H34" s="868">
        <v>100</v>
      </c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257.43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25"/>
      <c r="E37" s="938">
        <f>H19+H30+H36</f>
        <v>1319.3011360000003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0.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6.833333333333333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0.54666666666666663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31.888888888888886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12.691777777777775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82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333</v>
      </c>
      <c r="B46" s="508"/>
      <c r="C46" s="508"/>
      <c r="D46" s="508"/>
      <c r="E46" s="508"/>
      <c r="F46" s="508"/>
      <c r="G46" s="508"/>
      <c r="H46" s="894">
        <f>SUM(H40:J45)</f>
        <v>133.96066666666667</v>
      </c>
      <c r="I46" s="895"/>
      <c r="J46" s="896"/>
      <c r="K46" s="145"/>
      <c r="L46" s="145"/>
      <c r="M46" s="145"/>
      <c r="N46" s="145"/>
      <c r="O46" s="145"/>
    </row>
    <row r="47" spans="1:15" ht="9.7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128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4.5555555555555554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0.34166666666666667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5.4666666666666668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9.1111111111111125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7.7527358616666664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27.231971694999999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1.2146933333333332</v>
      </c>
      <c r="I58" s="871"/>
      <c r="J58" s="455"/>
      <c r="K58" s="145"/>
      <c r="L58" s="145"/>
      <c r="M58" s="145"/>
      <c r="N58" s="145"/>
      <c r="O58" s="145"/>
    </row>
    <row r="59" spans="1:15" ht="45.7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0.48344794666666657</v>
      </c>
      <c r="I59" s="871"/>
      <c r="J59" s="455"/>
      <c r="K59" s="145"/>
      <c r="L59" s="145"/>
      <c r="M59" s="145"/>
      <c r="N59" s="145"/>
      <c r="O59" s="145"/>
    </row>
    <row r="60" spans="1:15" ht="4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4.7092298961600001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6.4073711761599998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25"/>
      <c r="E67" s="938">
        <f>H66+H62+H56</f>
        <v>33.639468160851997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0.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8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10.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246.18308895792634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266.49427098461001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4101.3425898863197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8"/>
      <c r="H84" s="894">
        <f>H77+H78+H80+H81+H83</f>
        <v>1051.7035599425362</v>
      </c>
      <c r="I84" s="895"/>
      <c r="J84" s="896"/>
    </row>
    <row r="85" spans="1:15" ht="10.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941">
        <f>SUM(H84+H74+E67+H46+E37+E12)</f>
        <v>4568.6048307700548</v>
      </c>
      <c r="I86" s="942"/>
      <c r="J86" s="943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O88"/>
  <sheetViews>
    <sheetView topLeftCell="A69" workbookViewId="0">
      <selection activeCell="A75" sqref="A75:XFD75"/>
    </sheetView>
  </sheetViews>
  <sheetFormatPr defaultRowHeight="15" x14ac:dyDescent="0.25"/>
  <cols>
    <col min="1" max="1" width="6.7109375" style="146" customWidth="1"/>
    <col min="2" max="2" width="3.5703125" style="146" customWidth="1"/>
    <col min="3" max="3" width="12" style="134" customWidth="1"/>
    <col min="4" max="4" width="40.7109375" style="134" customWidth="1"/>
    <col min="5" max="7" width="3" style="116" customWidth="1"/>
    <col min="8" max="8" width="3.7109375" style="134" customWidth="1"/>
    <col min="9" max="9" width="0.425781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392</v>
      </c>
      <c r="E2" s="738"/>
      <c r="F2" s="738"/>
      <c r="G2" s="738"/>
      <c r="H2" s="738"/>
      <c r="I2" s="738"/>
      <c r="J2" s="739"/>
      <c r="K2" s="136"/>
    </row>
    <row r="3" spans="1:15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30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1222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>
        <f>(((E6/220)*30%)*9)*16</f>
        <v>239.95636363636362</v>
      </c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>
        <f>(((E6/220)*30%)*0.14)*16</f>
        <v>3.7326545454545457</v>
      </c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>
        <f>((E8+E9)/25)*5</f>
        <v>48.737803636363637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4.25" customHeight="1" thickBot="1" x14ac:dyDescent="0.3">
      <c r="A11" s="141" t="s">
        <v>11</v>
      </c>
      <c r="B11" s="609" t="s">
        <v>161</v>
      </c>
      <c r="C11" s="610"/>
      <c r="D11" s="611"/>
      <c r="E11" s="950">
        <f>1045*40%</f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25"/>
      <c r="E12" s="894">
        <f>SUM(E6:J11)</f>
        <v>1932.4268218181819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30" customHeight="1" x14ac:dyDescent="0.25">
      <c r="A13" s="551" t="s">
        <v>29</v>
      </c>
      <c r="B13" s="715"/>
      <c r="C13" s="715"/>
      <c r="D13" s="716"/>
      <c r="E13" s="926">
        <f>E12*E30</f>
        <v>711.13307042909105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0.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6.25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389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160.97115425745454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233.82364544000001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394.79479969745455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151.11577746618184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465.4443243031273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58.180540537890913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69.816648645469087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34.908324322734543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23.272216215156362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13.963329729093818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4.654443243031273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186.1777297212509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856.41755671775422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(3.9*2*16)-6%*E6</f>
        <v>51.480000000000004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>
        <f>5*16</f>
        <v>80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150</v>
      </c>
      <c r="D34" s="286"/>
      <c r="E34" s="877"/>
      <c r="F34" s="877"/>
      <c r="G34" s="877"/>
      <c r="H34" s="868">
        <v>100</v>
      </c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257.43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25"/>
      <c r="E37" s="938">
        <f>H19+H30+H36</f>
        <v>1508.642356415209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0.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8.0517784242424248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0.64414227393939405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37.574965979797987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14.954836459959598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96.621341090909098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9"/>
      <c r="H46" s="987">
        <f>SUM(H40:J45)</f>
        <v>157.8470642288485</v>
      </c>
      <c r="I46" s="895"/>
      <c r="J46" s="896"/>
      <c r="K46" s="145"/>
      <c r="L46" s="145"/>
      <c r="M46" s="145"/>
      <c r="N46" s="145"/>
      <c r="O46" s="145"/>
    </row>
    <row r="47" spans="1:15" ht="7.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5.3678522828282835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0.40258892121212125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6.4414227393939409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10.735704565656569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9.1348181282848486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32.086622470709095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1.4312841326933332</v>
      </c>
      <c r="I58" s="871"/>
      <c r="J58" s="455"/>
      <c r="K58" s="145"/>
      <c r="L58" s="145"/>
      <c r="M58" s="145"/>
      <c r="N58" s="145"/>
      <c r="O58" s="145"/>
    </row>
    <row r="59" spans="1:15" ht="47.2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0.5696510848119466</v>
      </c>
      <c r="I59" s="871"/>
      <c r="J59" s="455"/>
      <c r="K59" s="145"/>
      <c r="L59" s="145"/>
      <c r="M59" s="145"/>
      <c r="N59" s="145"/>
      <c r="O59" s="145"/>
    </row>
    <row r="60" spans="1:15" ht="45.7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5.5489281472241681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7.5498633647294477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25"/>
      <c r="E67" s="938">
        <f>H66+H62+H56</f>
        <v>39.636611125130543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0.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9"/>
      <c r="H74" s="987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9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.75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281.99869975111591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305.26482638141391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4698.0208205100525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8"/>
      <c r="H84" s="894">
        <f>H77+H78+H80+H81+H83</f>
        <v>1126.2897261325297</v>
      </c>
      <c r="I84" s="895"/>
      <c r="J84" s="896"/>
    </row>
    <row r="85" spans="1:15" ht="10.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941">
        <f>SUM(H84+H74+E67+H46+E37+E12)</f>
        <v>5154.8425797198997</v>
      </c>
      <c r="I86" s="942"/>
      <c r="J86" s="943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86:G86"/>
    <mergeCell ref="H86:J86"/>
    <mergeCell ref="A83:B83"/>
    <mergeCell ref="C83:D83"/>
    <mergeCell ref="E83:G83"/>
    <mergeCell ref="H83:J83"/>
    <mergeCell ref="H84:J84"/>
    <mergeCell ref="A84:G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O89"/>
  <sheetViews>
    <sheetView topLeftCell="A70" workbookViewId="0">
      <selection activeCell="L16" sqref="L16"/>
    </sheetView>
  </sheetViews>
  <sheetFormatPr defaultRowHeight="15" x14ac:dyDescent="0.25"/>
  <cols>
    <col min="1" max="1" width="6.85546875" style="146" customWidth="1"/>
    <col min="2" max="2" width="3" style="146" customWidth="1"/>
    <col min="3" max="3" width="12.7109375" style="134" customWidth="1"/>
    <col min="4" max="4" width="38.85546875" style="134" customWidth="1"/>
    <col min="5" max="7" width="3.140625" style="116" customWidth="1"/>
    <col min="8" max="8" width="3.7109375" style="134" customWidth="1"/>
    <col min="9" max="9" width="1.285156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133</v>
      </c>
      <c r="E2" s="738"/>
      <c r="F2" s="738"/>
      <c r="G2" s="738"/>
      <c r="H2" s="738"/>
      <c r="I2" s="738"/>
      <c r="J2" s="739"/>
      <c r="K2" s="136"/>
    </row>
    <row r="3" spans="1:15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66">
        <v>1350</v>
      </c>
      <c r="F6" s="876"/>
      <c r="G6" s="876"/>
      <c r="H6" s="876"/>
      <c r="I6" s="876"/>
      <c r="J6" s="876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32"/>
      <c r="F7" s="933"/>
      <c r="G7" s="933"/>
      <c r="H7" s="933"/>
      <c r="I7" s="933"/>
      <c r="J7" s="934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32"/>
      <c r="F8" s="933"/>
      <c r="G8" s="933"/>
      <c r="H8" s="933"/>
      <c r="I8" s="933"/>
      <c r="J8" s="934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32"/>
      <c r="F9" s="933"/>
      <c r="G9" s="933"/>
      <c r="H9" s="933"/>
      <c r="I9" s="933"/>
      <c r="J9" s="934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35"/>
      <c r="F10" s="935"/>
      <c r="G10" s="935"/>
      <c r="H10" s="935"/>
      <c r="I10" s="935"/>
      <c r="J10" s="935"/>
      <c r="K10" s="145"/>
      <c r="L10" s="145"/>
      <c r="M10" s="145"/>
      <c r="N10" s="145"/>
      <c r="O10" s="145"/>
    </row>
    <row r="11" spans="1:15" ht="29.25" customHeight="1" thickBot="1" x14ac:dyDescent="0.3">
      <c r="A11" s="141" t="s">
        <v>11</v>
      </c>
      <c r="B11" s="609" t="s">
        <v>92</v>
      </c>
      <c r="C11" s="610"/>
      <c r="D11" s="611"/>
      <c r="E11" s="888"/>
      <c r="F11" s="888"/>
      <c r="G11" s="888"/>
      <c r="H11" s="888"/>
      <c r="I11" s="888"/>
      <c r="J11" s="888"/>
      <c r="K11" s="145"/>
      <c r="L11" s="145"/>
      <c r="M11" s="145"/>
      <c r="N11" s="145"/>
      <c r="O11" s="145"/>
    </row>
    <row r="12" spans="1:15" ht="15.75" thickBot="1" x14ac:dyDescent="0.3">
      <c r="A12" s="882" t="s">
        <v>330</v>
      </c>
      <c r="B12" s="883"/>
      <c r="C12" s="883"/>
      <c r="D12" s="925"/>
      <c r="E12" s="894">
        <f>SUM(E6:J11)</f>
        <v>1350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4.75" customHeight="1" x14ac:dyDescent="0.25">
      <c r="A13" s="551" t="s">
        <v>29</v>
      </c>
      <c r="B13" s="715"/>
      <c r="C13" s="715"/>
      <c r="D13" s="716"/>
      <c r="E13" s="926">
        <f>E12*E30</f>
        <v>469.80000000000007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8.2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27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112.455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163.35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91" t="s">
        <v>36</v>
      </c>
      <c r="B19" s="992"/>
      <c r="C19" s="992"/>
      <c r="D19" s="992"/>
      <c r="E19" s="992"/>
      <c r="F19" s="992"/>
      <c r="G19" s="993"/>
      <c r="H19" s="994">
        <f>SUM(H17:J18)</f>
        <v>275.80500000000001</v>
      </c>
      <c r="I19" s="994"/>
      <c r="J19" s="994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105.57000000000001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325.16100000000006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40.645125000000007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0.01</v>
      </c>
      <c r="F24" s="917"/>
      <c r="G24" s="917"/>
      <c r="H24" s="868">
        <f>E24*(E12+H19)</f>
        <v>16.258050000000001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24.387074999999999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16.258050000000001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9.7548300000000001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3.2516100000000003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130.06440000000001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0.34800000000000003</v>
      </c>
      <c r="F30" s="880"/>
      <c r="G30" s="881"/>
      <c r="H30" s="869">
        <f>SUM(H22:J29)</f>
        <v>565.78014000000019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(3.9*2*25.5)-6%*E6</f>
        <v>117.9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>
        <f>12.5*25.5-20%</f>
        <v>318.55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148" t="s">
        <v>8</v>
      </c>
      <c r="B34" s="149"/>
      <c r="C34" s="284" t="s">
        <v>150</v>
      </c>
      <c r="D34" s="286"/>
      <c r="E34" s="909"/>
      <c r="F34" s="910"/>
      <c r="G34" s="911"/>
      <c r="H34" s="922">
        <f>156.45-(156.45*0.5%)</f>
        <v>155.66774999999998</v>
      </c>
      <c r="I34" s="923"/>
      <c r="J34" s="924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284" t="s">
        <v>49</v>
      </c>
      <c r="D35" s="286"/>
      <c r="E35" s="877"/>
      <c r="F35" s="877"/>
      <c r="G35" s="877"/>
      <c r="H35" s="868">
        <v>105.05</v>
      </c>
      <c r="I35" s="868"/>
      <c r="J35" s="868"/>
      <c r="K35" s="145"/>
      <c r="L35" s="145"/>
      <c r="M35" s="145"/>
      <c r="N35" s="145"/>
      <c r="O35" s="145"/>
    </row>
    <row r="36" spans="1:15" x14ac:dyDescent="0.25">
      <c r="A36" s="478" t="s">
        <v>10</v>
      </c>
      <c r="B36" s="479"/>
      <c r="C36" s="478" t="s">
        <v>28</v>
      </c>
      <c r="D36" s="479"/>
      <c r="E36" s="877"/>
      <c r="F36" s="877"/>
      <c r="G36" s="877"/>
      <c r="H36" s="868">
        <v>108.9</v>
      </c>
      <c r="I36" s="868"/>
      <c r="J36" s="868"/>
      <c r="K36" s="145"/>
      <c r="L36" s="145"/>
      <c r="M36" s="145"/>
      <c r="N36" s="145"/>
      <c r="O36" s="145"/>
    </row>
    <row r="37" spans="1:15" ht="15.75" thickBot="1" x14ac:dyDescent="0.3">
      <c r="A37" s="905" t="s">
        <v>38</v>
      </c>
      <c r="B37" s="906"/>
      <c r="C37" s="906"/>
      <c r="D37" s="906"/>
      <c r="E37" s="906"/>
      <c r="F37" s="906"/>
      <c r="G37" s="907"/>
      <c r="H37" s="867">
        <f>SUM(H32:J36)</f>
        <v>806.06774999999993</v>
      </c>
      <c r="I37" s="867"/>
      <c r="J37" s="867"/>
      <c r="K37" s="145"/>
      <c r="L37" s="145"/>
      <c r="M37" s="145"/>
      <c r="N37" s="145"/>
      <c r="O37" s="145"/>
    </row>
    <row r="38" spans="1:15" ht="15.75" thickBot="1" x14ac:dyDescent="0.3">
      <c r="A38" s="882" t="s">
        <v>72</v>
      </c>
      <c r="B38" s="883"/>
      <c r="C38" s="883"/>
      <c r="D38" s="925"/>
      <c r="E38" s="938">
        <f>H19+H30+H37</f>
        <v>1647.6528900000001</v>
      </c>
      <c r="F38" s="885"/>
      <c r="G38" s="885"/>
      <c r="H38" s="885"/>
      <c r="I38" s="885"/>
      <c r="J38" s="886"/>
      <c r="K38" s="145"/>
      <c r="L38" s="145"/>
      <c r="M38" s="145"/>
      <c r="N38" s="145"/>
      <c r="O38" s="145"/>
    </row>
    <row r="39" spans="1:15" ht="11.25" customHeight="1" thickBot="1" x14ac:dyDescent="0.3">
      <c r="A39" s="908"/>
      <c r="B39" s="908"/>
      <c r="C39" s="908"/>
      <c r="D39" s="908"/>
      <c r="E39" s="908"/>
      <c r="F39" s="908"/>
      <c r="G39" s="908"/>
      <c r="H39" s="908"/>
      <c r="I39" s="908"/>
      <c r="J39" s="908"/>
      <c r="K39" s="145"/>
      <c r="L39" s="145"/>
      <c r="M39" s="145"/>
      <c r="N39" s="145"/>
      <c r="O39" s="145"/>
    </row>
    <row r="40" spans="1:15" ht="27" customHeight="1" thickBot="1" x14ac:dyDescent="0.3">
      <c r="A40" s="494" t="s">
        <v>129</v>
      </c>
      <c r="B40" s="495"/>
      <c r="C40" s="495"/>
      <c r="D40" s="495"/>
      <c r="E40" s="495"/>
      <c r="F40" s="495"/>
      <c r="G40" s="495"/>
      <c r="H40" s="495"/>
      <c r="I40" s="495"/>
      <c r="J40" s="496"/>
      <c r="K40" s="136"/>
    </row>
    <row r="41" spans="1:15" x14ac:dyDescent="0.25">
      <c r="A41" s="962" t="s">
        <v>2</v>
      </c>
      <c r="B41" s="963"/>
      <c r="C41" s="454" t="s">
        <v>51</v>
      </c>
      <c r="D41" s="455"/>
      <c r="E41" s="150"/>
      <c r="F41" s="151"/>
      <c r="G41" s="152"/>
      <c r="H41" s="870">
        <f>E12/12*5%</f>
        <v>5.625</v>
      </c>
      <c r="I41" s="871"/>
      <c r="J41" s="455"/>
      <c r="K41" s="145"/>
      <c r="L41" s="145"/>
      <c r="M41" s="145"/>
      <c r="N41" s="145"/>
      <c r="O41" s="145"/>
    </row>
    <row r="42" spans="1:15" x14ac:dyDescent="0.25">
      <c r="A42" s="962" t="s">
        <v>7</v>
      </c>
      <c r="B42" s="963"/>
      <c r="C42" s="454" t="s">
        <v>52</v>
      </c>
      <c r="D42" s="455"/>
      <c r="E42" s="150"/>
      <c r="F42" s="151"/>
      <c r="G42" s="152"/>
      <c r="H42" s="870">
        <f>H41*8%</f>
        <v>0.45</v>
      </c>
      <c r="I42" s="871"/>
      <c r="J42" s="455"/>
      <c r="K42" s="145"/>
      <c r="L42" s="145"/>
      <c r="M42" s="145"/>
      <c r="N42" s="145"/>
      <c r="O42" s="145"/>
    </row>
    <row r="43" spans="1:15" ht="27.75" customHeight="1" x14ac:dyDescent="0.25">
      <c r="A43" s="962" t="s">
        <v>8</v>
      </c>
      <c r="B43" s="963"/>
      <c r="C43" s="320" t="s">
        <v>53</v>
      </c>
      <c r="D43" s="321"/>
      <c r="E43" s="873"/>
      <c r="F43" s="874"/>
      <c r="G43" s="875"/>
      <c r="H43" s="868">
        <f>E43*E12</f>
        <v>0</v>
      </c>
      <c r="I43" s="868"/>
      <c r="J43" s="868"/>
      <c r="K43" s="145"/>
      <c r="L43" s="145"/>
      <c r="M43" s="145"/>
      <c r="N43" s="145"/>
      <c r="O43" s="145"/>
    </row>
    <row r="44" spans="1:15" x14ac:dyDescent="0.25">
      <c r="A44" s="964" t="s">
        <v>9</v>
      </c>
      <c r="B44" s="964"/>
      <c r="C44" s="284" t="s">
        <v>54</v>
      </c>
      <c r="D44" s="286"/>
      <c r="E44" s="877"/>
      <c r="F44" s="877"/>
      <c r="G44" s="877"/>
      <c r="H44" s="868">
        <f>E12/30/12*7*100%</f>
        <v>26.25</v>
      </c>
      <c r="I44" s="868"/>
      <c r="J44" s="868"/>
      <c r="K44" s="145"/>
      <c r="L44" s="145"/>
      <c r="M44" s="145"/>
      <c r="N44" s="145"/>
      <c r="O44" s="145"/>
    </row>
    <row r="45" spans="1:15" ht="27.75" customHeight="1" x14ac:dyDescent="0.25">
      <c r="A45" s="964" t="s">
        <v>10</v>
      </c>
      <c r="B45" s="964"/>
      <c r="C45" s="478" t="s">
        <v>83</v>
      </c>
      <c r="D45" s="479"/>
      <c r="E45" s="877"/>
      <c r="F45" s="877"/>
      <c r="G45" s="877"/>
      <c r="H45" s="868">
        <f>H44*39.8%</f>
        <v>10.4475</v>
      </c>
      <c r="I45" s="868"/>
      <c r="J45" s="868"/>
      <c r="K45" s="145"/>
      <c r="L45" s="145"/>
      <c r="M45" s="145"/>
      <c r="N45" s="145"/>
      <c r="O45" s="145"/>
    </row>
    <row r="46" spans="1:15" ht="28.5" customHeight="1" thickBot="1" x14ac:dyDescent="0.3">
      <c r="A46" s="475" t="s">
        <v>11</v>
      </c>
      <c r="B46" s="476"/>
      <c r="C46" s="834" t="s">
        <v>53</v>
      </c>
      <c r="D46" s="835"/>
      <c r="E46" s="897"/>
      <c r="F46" s="898"/>
      <c r="G46" s="899"/>
      <c r="H46" s="900">
        <f>E12*5%</f>
        <v>67.5</v>
      </c>
      <c r="I46" s="901"/>
      <c r="J46" s="902"/>
      <c r="K46" s="145"/>
      <c r="L46" s="145"/>
      <c r="M46" s="145"/>
      <c r="N46" s="145"/>
      <c r="O46" s="145"/>
    </row>
    <row r="47" spans="1:15" ht="15" customHeight="1" thickBot="1" x14ac:dyDescent="0.3">
      <c r="A47" s="507" t="s">
        <v>72</v>
      </c>
      <c r="B47" s="508"/>
      <c r="C47" s="508"/>
      <c r="D47" s="508"/>
      <c r="E47" s="508"/>
      <c r="F47" s="508"/>
      <c r="G47" s="508"/>
      <c r="H47" s="894">
        <f>SUM(H41:J46)</f>
        <v>110.27250000000001</v>
      </c>
      <c r="I47" s="895"/>
      <c r="J47" s="896"/>
      <c r="K47" s="145"/>
      <c r="L47" s="145"/>
      <c r="M47" s="145"/>
      <c r="N47" s="145"/>
      <c r="O47" s="145"/>
    </row>
    <row r="48" spans="1:15" ht="9" customHeight="1" thickBot="1" x14ac:dyDescent="0.3">
      <c r="A48" s="147"/>
      <c r="B48" s="147"/>
      <c r="C48" s="143"/>
      <c r="D48" s="143"/>
      <c r="E48" s="153"/>
      <c r="F48" s="153"/>
      <c r="G48" s="153"/>
      <c r="H48" s="166"/>
      <c r="I48" s="166"/>
      <c r="J48" s="166"/>
      <c r="K48" s="145"/>
      <c r="L48" s="145"/>
      <c r="M48" s="145"/>
      <c r="N48" s="145"/>
      <c r="O48" s="145"/>
    </row>
    <row r="49" spans="1:15" ht="33" customHeight="1" thickBot="1" x14ac:dyDescent="0.3">
      <c r="A49" s="494" t="s">
        <v>359</v>
      </c>
      <c r="B49" s="495"/>
      <c r="C49" s="495"/>
      <c r="D49" s="495"/>
      <c r="E49" s="495"/>
      <c r="F49" s="495"/>
      <c r="G49" s="495"/>
      <c r="H49" s="495"/>
      <c r="I49" s="495"/>
      <c r="J49" s="496"/>
      <c r="K49" s="136"/>
    </row>
    <row r="50" spans="1:15" x14ac:dyDescent="0.25">
      <c r="A50" s="962" t="s">
        <v>2</v>
      </c>
      <c r="B50" s="963"/>
      <c r="C50" s="454" t="s">
        <v>56</v>
      </c>
      <c r="D50" s="455"/>
      <c r="E50" s="150"/>
      <c r="F50" s="151"/>
      <c r="G50" s="152"/>
      <c r="H50" s="870">
        <f>E20/12*5%</f>
        <v>3.2583333333333336E-4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7</v>
      </c>
      <c r="B51" s="963"/>
      <c r="C51" s="454" t="s">
        <v>57</v>
      </c>
      <c r="D51" s="455"/>
      <c r="E51" s="150"/>
      <c r="F51" s="151"/>
      <c r="G51" s="152"/>
      <c r="H51" s="870">
        <f>E12/30/12</f>
        <v>3.75</v>
      </c>
      <c r="I51" s="871"/>
      <c r="J51" s="455"/>
      <c r="K51" s="145"/>
      <c r="L51" s="145"/>
      <c r="M51" s="145"/>
      <c r="N51" s="145"/>
      <c r="O51" s="145"/>
    </row>
    <row r="52" spans="1:15" x14ac:dyDescent="0.25">
      <c r="A52" s="962" t="s">
        <v>8</v>
      </c>
      <c r="B52" s="963"/>
      <c r="C52" s="320" t="s">
        <v>58</v>
      </c>
      <c r="D52" s="321"/>
      <c r="E52" s="873"/>
      <c r="F52" s="874"/>
      <c r="G52" s="875"/>
      <c r="H52" s="868">
        <f>E12/30/12*5*1.5%</f>
        <v>0.28125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9</v>
      </c>
      <c r="B53" s="964"/>
      <c r="C53" s="284" t="s">
        <v>59</v>
      </c>
      <c r="D53" s="286"/>
      <c r="E53" s="877"/>
      <c r="F53" s="877"/>
      <c r="G53" s="877"/>
      <c r="H53" s="868">
        <f>E12/30/12*15*8%</f>
        <v>4.5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10</v>
      </c>
      <c r="B54" s="964"/>
      <c r="C54" s="478" t="s">
        <v>60</v>
      </c>
      <c r="D54" s="479"/>
      <c r="E54" s="877"/>
      <c r="F54" s="877"/>
      <c r="G54" s="877"/>
      <c r="H54" s="868">
        <f>E20*5%</f>
        <v>3.9100000000000003E-3</v>
      </c>
      <c r="I54" s="868"/>
      <c r="J54" s="868"/>
      <c r="K54" s="145"/>
      <c r="L54" s="145"/>
      <c r="M54" s="145"/>
      <c r="N54" s="145"/>
      <c r="O54" s="145"/>
    </row>
    <row r="55" spans="1:15" x14ac:dyDescent="0.25">
      <c r="A55" s="964" t="s">
        <v>11</v>
      </c>
      <c r="B55" s="964"/>
      <c r="C55" s="478" t="s">
        <v>61</v>
      </c>
      <c r="D55" s="479"/>
      <c r="E55" s="877"/>
      <c r="F55" s="877"/>
      <c r="G55" s="877"/>
      <c r="H55" s="868">
        <f>E12/30/12*5*40%</f>
        <v>7.5</v>
      </c>
      <c r="I55" s="868"/>
      <c r="J55" s="868"/>
      <c r="K55" s="145"/>
      <c r="L55" s="145"/>
      <c r="M55" s="145"/>
      <c r="N55" s="145"/>
      <c r="O55" s="145"/>
    </row>
    <row r="56" spans="1:15" ht="27.75" customHeight="1" x14ac:dyDescent="0.25">
      <c r="A56" s="964" t="s">
        <v>39</v>
      </c>
      <c r="B56" s="964"/>
      <c r="C56" s="478" t="s">
        <v>62</v>
      </c>
      <c r="D56" s="479"/>
      <c r="E56" s="877"/>
      <c r="F56" s="877"/>
      <c r="G56" s="877"/>
      <c r="H56" s="868">
        <f>SUM(H50:J55)*39.8%</f>
        <v>6.3821233616666655</v>
      </c>
      <c r="I56" s="868"/>
      <c r="J56" s="868"/>
      <c r="K56" s="145"/>
      <c r="L56" s="145"/>
      <c r="M56" s="145"/>
      <c r="N56" s="145"/>
      <c r="O56" s="145"/>
    </row>
    <row r="57" spans="1:15" ht="15.75" thickBot="1" x14ac:dyDescent="0.3">
      <c r="A57" s="878" t="s">
        <v>36</v>
      </c>
      <c r="B57" s="878"/>
      <c r="C57" s="878"/>
      <c r="D57" s="878"/>
      <c r="E57" s="879"/>
      <c r="F57" s="880"/>
      <c r="G57" s="881"/>
      <c r="H57" s="869">
        <f>SUM(H50:J56)</f>
        <v>22.417609194999997</v>
      </c>
      <c r="I57" s="869"/>
      <c r="J57" s="869"/>
      <c r="K57" s="145"/>
      <c r="L57" s="145"/>
      <c r="M57" s="145"/>
      <c r="N57" s="145"/>
      <c r="O57" s="145"/>
    </row>
    <row r="58" spans="1:15" ht="15.75" thickBot="1" x14ac:dyDescent="0.3">
      <c r="A58" s="507" t="s">
        <v>127</v>
      </c>
      <c r="B58" s="508"/>
      <c r="C58" s="508"/>
      <c r="D58" s="508"/>
      <c r="E58" s="508"/>
      <c r="F58" s="508"/>
      <c r="G58" s="508"/>
      <c r="H58" s="508"/>
      <c r="I58" s="508"/>
      <c r="J58" s="509"/>
      <c r="K58" s="136"/>
    </row>
    <row r="59" spans="1:15" ht="32.25" customHeight="1" x14ac:dyDescent="0.25">
      <c r="A59" s="962" t="s">
        <v>2</v>
      </c>
      <c r="B59" s="963"/>
      <c r="C59" s="454" t="s">
        <v>64</v>
      </c>
      <c r="D59" s="455"/>
      <c r="E59" s="150"/>
      <c r="F59" s="151"/>
      <c r="G59" s="152"/>
      <c r="H59" s="870">
        <f>((((E12+(E12/3))*0.3333)/12)*2%)</f>
        <v>0.99990000000000001</v>
      </c>
      <c r="I59" s="871"/>
      <c r="J59" s="455"/>
      <c r="K59" s="145"/>
      <c r="L59" s="145"/>
      <c r="M59" s="145"/>
      <c r="N59" s="145"/>
      <c r="O59" s="145"/>
    </row>
    <row r="60" spans="1:15" ht="45" customHeight="1" x14ac:dyDescent="0.25">
      <c r="A60" s="962" t="s">
        <v>7</v>
      </c>
      <c r="B60" s="963"/>
      <c r="C60" s="454" t="s">
        <v>65</v>
      </c>
      <c r="D60" s="455"/>
      <c r="E60" s="150"/>
      <c r="F60" s="151"/>
      <c r="G60" s="152"/>
      <c r="H60" s="870">
        <f>H59*39.8%</f>
        <v>0.39796019999999999</v>
      </c>
      <c r="I60" s="871"/>
      <c r="J60" s="455"/>
      <c r="K60" s="145"/>
      <c r="L60" s="145"/>
      <c r="M60" s="145"/>
      <c r="N60" s="145"/>
      <c r="O60" s="145"/>
    </row>
    <row r="61" spans="1:15" ht="48.75" customHeight="1" x14ac:dyDescent="0.25">
      <c r="A61" s="962" t="s">
        <v>8</v>
      </c>
      <c r="B61" s="963"/>
      <c r="C61" s="454" t="s">
        <v>66</v>
      </c>
      <c r="D61" s="455"/>
      <c r="E61" s="873"/>
      <c r="F61" s="874"/>
      <c r="G61" s="875"/>
      <c r="H61" s="868">
        <f>(((E12+H17)*0.333)*2%)*39.8%</f>
        <v>3.8765002193999996</v>
      </c>
      <c r="I61" s="868"/>
      <c r="J61" s="868"/>
      <c r="K61" s="145"/>
      <c r="L61" s="145"/>
      <c r="M61" s="145"/>
      <c r="N61" s="145"/>
      <c r="O61" s="145"/>
    </row>
    <row r="62" spans="1:15" x14ac:dyDescent="0.25">
      <c r="A62" s="964" t="s">
        <v>9</v>
      </c>
      <c r="B62" s="964"/>
      <c r="C62" s="284" t="s">
        <v>67</v>
      </c>
      <c r="D62" s="286"/>
      <c r="E62" s="877"/>
      <c r="F62" s="877"/>
      <c r="G62" s="877"/>
      <c r="H62" s="868"/>
      <c r="I62" s="868"/>
      <c r="J62" s="868"/>
      <c r="K62" s="145"/>
      <c r="L62" s="145"/>
      <c r="M62" s="145"/>
      <c r="N62" s="145"/>
      <c r="O62" s="145"/>
    </row>
    <row r="63" spans="1:15" ht="15.75" thickBot="1" x14ac:dyDescent="0.3">
      <c r="A63" s="878" t="s">
        <v>36</v>
      </c>
      <c r="B63" s="878"/>
      <c r="C63" s="878"/>
      <c r="D63" s="878"/>
      <c r="E63" s="879"/>
      <c r="F63" s="880"/>
      <c r="G63" s="881"/>
      <c r="H63" s="869">
        <f>SUM(H59:J62)</f>
        <v>5.2743604193999998</v>
      </c>
      <c r="I63" s="869"/>
      <c r="J63" s="869"/>
      <c r="K63" s="145"/>
      <c r="L63" s="145"/>
      <c r="M63" s="145"/>
      <c r="N63" s="145"/>
      <c r="O63" s="145"/>
    </row>
    <row r="64" spans="1:15" ht="15.75" thickBot="1" x14ac:dyDescent="0.3">
      <c r="A64" s="507" t="s">
        <v>126</v>
      </c>
      <c r="B64" s="508"/>
      <c r="C64" s="508"/>
      <c r="D64" s="508"/>
      <c r="E64" s="508"/>
      <c r="F64" s="508"/>
      <c r="G64" s="508"/>
      <c r="H64" s="508"/>
      <c r="I64" s="508"/>
      <c r="J64" s="509"/>
      <c r="K64" s="136"/>
    </row>
    <row r="65" spans="1:15" ht="29.25" customHeight="1" x14ac:dyDescent="0.25">
      <c r="A65" s="962" t="s">
        <v>2</v>
      </c>
      <c r="B65" s="963"/>
      <c r="C65" s="454" t="s">
        <v>69</v>
      </c>
      <c r="D65" s="455"/>
      <c r="E65" s="150"/>
      <c r="F65" s="151"/>
      <c r="G65" s="152"/>
      <c r="H65" s="870">
        <f>((((E18+(E18/3))*0.3333)/12)*2%)</f>
        <v>8.9620666666666654E-5</v>
      </c>
      <c r="I65" s="871"/>
      <c r="J65" s="455"/>
      <c r="K65" s="145"/>
      <c r="L65" s="145"/>
      <c r="M65" s="145"/>
      <c r="N65" s="145"/>
      <c r="O65" s="145"/>
    </row>
    <row r="66" spans="1:15" ht="29.25" customHeight="1" x14ac:dyDescent="0.25">
      <c r="A66" s="962" t="s">
        <v>7</v>
      </c>
      <c r="B66" s="963"/>
      <c r="C66" s="454" t="s">
        <v>70</v>
      </c>
      <c r="D66" s="455"/>
      <c r="E66" s="150"/>
      <c r="F66" s="151"/>
      <c r="G66" s="152"/>
      <c r="H66" s="870">
        <f>H65*39.8%</f>
        <v>3.5669025333333325E-5</v>
      </c>
      <c r="I66" s="871"/>
      <c r="J66" s="455"/>
      <c r="K66" s="145"/>
      <c r="L66" s="145"/>
      <c r="M66" s="145"/>
      <c r="N66" s="145"/>
      <c r="O66" s="145"/>
    </row>
    <row r="67" spans="1:15" ht="15.75" thickBot="1" x14ac:dyDescent="0.3">
      <c r="A67" s="872" t="s">
        <v>36</v>
      </c>
      <c r="B67" s="872"/>
      <c r="C67" s="872"/>
      <c r="D67" s="872"/>
      <c r="E67" s="864"/>
      <c r="F67" s="865"/>
      <c r="G67" s="866"/>
      <c r="H67" s="867">
        <f>SUM(H65:J66)</f>
        <v>1.2528969199999997E-4</v>
      </c>
      <c r="I67" s="867"/>
      <c r="J67" s="867"/>
      <c r="K67" s="145"/>
      <c r="L67" s="145"/>
      <c r="M67" s="145"/>
      <c r="N67" s="145"/>
      <c r="O67" s="145"/>
    </row>
    <row r="68" spans="1:15" ht="15.75" thickBot="1" x14ac:dyDescent="0.3">
      <c r="A68" s="882" t="s">
        <v>71</v>
      </c>
      <c r="B68" s="883"/>
      <c r="C68" s="883"/>
      <c r="D68" s="925"/>
      <c r="E68" s="938">
        <f>H67+H63+H57</f>
        <v>27.692094904091995</v>
      </c>
      <c r="F68" s="885"/>
      <c r="G68" s="885"/>
      <c r="H68" s="885"/>
      <c r="I68" s="885"/>
      <c r="J68" s="886"/>
      <c r="K68" s="145"/>
      <c r="L68" s="145"/>
      <c r="M68" s="145"/>
      <c r="N68" s="145"/>
      <c r="O68" s="145"/>
    </row>
    <row r="69" spans="1:15" ht="11.25" customHeight="1" thickBot="1" x14ac:dyDescent="0.3">
      <c r="A69" s="144"/>
      <c r="B69" s="144"/>
      <c r="C69" s="144"/>
      <c r="D69" s="144"/>
      <c r="E69" s="154"/>
      <c r="F69" s="154"/>
      <c r="G69" s="154"/>
      <c r="H69" s="144"/>
      <c r="I69" s="144"/>
      <c r="J69" s="144"/>
      <c r="K69" s="145"/>
      <c r="L69" s="145"/>
      <c r="M69" s="145"/>
      <c r="N69" s="145"/>
      <c r="O69" s="145"/>
    </row>
    <row r="70" spans="1:15" ht="27" customHeight="1" thickBot="1" x14ac:dyDescent="0.3">
      <c r="A70" s="494" t="s">
        <v>73</v>
      </c>
      <c r="B70" s="495"/>
      <c r="C70" s="495"/>
      <c r="D70" s="495"/>
      <c r="E70" s="495"/>
      <c r="F70" s="495"/>
      <c r="G70" s="495"/>
      <c r="H70" s="495"/>
      <c r="I70" s="495"/>
      <c r="J70" s="496"/>
      <c r="K70" s="136"/>
    </row>
    <row r="71" spans="1:15" x14ac:dyDescent="0.25">
      <c r="A71" s="962" t="s">
        <v>2</v>
      </c>
      <c r="B71" s="963"/>
      <c r="C71" s="454" t="s">
        <v>74</v>
      </c>
      <c r="D71" s="455"/>
      <c r="E71" s="892"/>
      <c r="F71" s="890"/>
      <c r="G71" s="891"/>
      <c r="H71" s="870">
        <v>350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7</v>
      </c>
      <c r="B72" s="963"/>
      <c r="C72" s="454" t="s">
        <v>75</v>
      </c>
      <c r="D72" s="455"/>
      <c r="E72" s="150"/>
      <c r="F72" s="151"/>
      <c r="G72" s="152"/>
      <c r="H72" s="870">
        <v>50</v>
      </c>
      <c r="I72" s="871"/>
      <c r="J72" s="455"/>
      <c r="K72" s="145"/>
      <c r="L72" s="145"/>
      <c r="M72" s="145"/>
      <c r="N72" s="145"/>
      <c r="O72" s="145"/>
    </row>
    <row r="73" spans="1:15" x14ac:dyDescent="0.25">
      <c r="A73" s="962" t="s">
        <v>8</v>
      </c>
      <c r="B73" s="963"/>
      <c r="C73" s="320" t="s">
        <v>76</v>
      </c>
      <c r="D73" s="321"/>
      <c r="E73" s="873"/>
      <c r="F73" s="874"/>
      <c r="G73" s="875"/>
      <c r="H73" s="868">
        <v>25</v>
      </c>
      <c r="I73" s="868"/>
      <c r="J73" s="868"/>
      <c r="K73" s="145"/>
      <c r="L73" s="145"/>
      <c r="M73" s="145"/>
      <c r="N73" s="145"/>
      <c r="O73" s="145"/>
    </row>
    <row r="74" spans="1:15" ht="15.75" thickBot="1" x14ac:dyDescent="0.3">
      <c r="A74" s="965" t="s">
        <v>9</v>
      </c>
      <c r="B74" s="965"/>
      <c r="C74" s="526" t="s">
        <v>28</v>
      </c>
      <c r="D74" s="528"/>
      <c r="E74" s="887"/>
      <c r="F74" s="887"/>
      <c r="G74" s="887"/>
      <c r="H74" s="888">
        <f>E31/30/12*15*8%</f>
        <v>0</v>
      </c>
      <c r="I74" s="888"/>
      <c r="J74" s="888"/>
      <c r="K74" s="145"/>
      <c r="L74" s="145"/>
      <c r="M74" s="145"/>
      <c r="N74" s="145"/>
      <c r="O74" s="145"/>
    </row>
    <row r="75" spans="1:15" ht="15" customHeight="1" thickBot="1" x14ac:dyDescent="0.3">
      <c r="A75" s="507" t="s">
        <v>320</v>
      </c>
      <c r="B75" s="508"/>
      <c r="C75" s="508"/>
      <c r="D75" s="508"/>
      <c r="E75" s="508"/>
      <c r="F75" s="508"/>
      <c r="G75" s="508"/>
      <c r="H75" s="894">
        <f>SUM(H71:J74)</f>
        <v>425</v>
      </c>
      <c r="I75" s="895"/>
      <c r="J75" s="896"/>
      <c r="K75" s="145"/>
      <c r="L75" s="145"/>
      <c r="M75" s="145"/>
      <c r="N75" s="145"/>
      <c r="O75" s="145"/>
    </row>
    <row r="76" spans="1:15" ht="9.75" customHeight="1" thickBot="1" x14ac:dyDescent="0.3">
      <c r="A76" s="147"/>
      <c r="B76" s="147"/>
      <c r="C76" s="143"/>
      <c r="D76" s="143"/>
      <c r="E76" s="153"/>
      <c r="F76" s="153"/>
      <c r="G76" s="153"/>
      <c r="H76" s="166"/>
      <c r="I76" s="166"/>
      <c r="J76" s="166"/>
      <c r="K76" s="145"/>
      <c r="L76" s="145"/>
      <c r="M76" s="145"/>
      <c r="N76" s="145"/>
      <c r="O76" s="145"/>
    </row>
    <row r="77" spans="1:15" ht="27" customHeight="1" thickBot="1" x14ac:dyDescent="0.3">
      <c r="A77" s="494" t="s">
        <v>84</v>
      </c>
      <c r="B77" s="495"/>
      <c r="C77" s="495"/>
      <c r="D77" s="495"/>
      <c r="E77" s="495"/>
      <c r="F77" s="495"/>
      <c r="G77" s="495"/>
      <c r="H77" s="495"/>
      <c r="I77" s="495"/>
      <c r="J77" s="496"/>
      <c r="K77" s="136"/>
    </row>
    <row r="78" spans="1:15" x14ac:dyDescent="0.25">
      <c r="A78" s="962" t="s">
        <v>2</v>
      </c>
      <c r="B78" s="963"/>
      <c r="C78" s="454" t="s">
        <v>77</v>
      </c>
      <c r="D78" s="455"/>
      <c r="E78" s="889">
        <v>7.0000000000000007E-2</v>
      </c>
      <c r="F78" s="890"/>
      <c r="G78" s="891"/>
      <c r="H78" s="870">
        <f>(H75+E68+H47+E38+E12)*E78</f>
        <v>249.24322394328647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7</v>
      </c>
      <c r="B79" s="963"/>
      <c r="C79" s="454" t="s">
        <v>12</v>
      </c>
      <c r="D79" s="455"/>
      <c r="E79" s="889">
        <v>7.577530628885254E-2</v>
      </c>
      <c r="F79" s="890"/>
      <c r="G79" s="891"/>
      <c r="H79" s="870">
        <f>E79*(H75+E68+H47+E38+E12)</f>
        <v>269.80688049605135</v>
      </c>
      <c r="I79" s="871"/>
      <c r="J79" s="455"/>
      <c r="K79" s="145"/>
      <c r="L79" s="145"/>
      <c r="M79" s="145"/>
      <c r="N79" s="145"/>
      <c r="O79" s="145"/>
    </row>
    <row r="80" spans="1:15" x14ac:dyDescent="0.25">
      <c r="A80" s="962" t="s">
        <v>8</v>
      </c>
      <c r="B80" s="963"/>
      <c r="C80" s="320" t="s">
        <v>78</v>
      </c>
      <c r="D80" s="321"/>
      <c r="E80" s="944">
        <v>0.85750000000000004</v>
      </c>
      <c r="F80" s="945"/>
      <c r="G80" s="946"/>
      <c r="H80" s="868">
        <f>(H75+E68+H47+E38+E12)/E80</f>
        <v>4152.3235975557927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79</v>
      </c>
      <c r="D81" s="286"/>
      <c r="E81" s="877">
        <v>1.6500000000000001E-2</v>
      </c>
      <c r="F81" s="877"/>
      <c r="G81" s="877"/>
      <c r="H81" s="868">
        <f>E81*D89</f>
        <v>51.931274999999999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9</v>
      </c>
      <c r="B82" s="964"/>
      <c r="C82" s="284" t="s">
        <v>80</v>
      </c>
      <c r="D82" s="286"/>
      <c r="E82" s="877">
        <v>7.5999999999999998E-2</v>
      </c>
      <c r="F82" s="877"/>
      <c r="G82" s="877"/>
      <c r="H82" s="868">
        <f>E82*D89</f>
        <v>239.1986</v>
      </c>
      <c r="I82" s="868"/>
      <c r="J82" s="868"/>
      <c r="K82" s="145"/>
      <c r="L82" s="145"/>
      <c r="M82" s="145"/>
      <c r="N82" s="145"/>
      <c r="O82" s="145"/>
    </row>
    <row r="83" spans="1:15" x14ac:dyDescent="0.25">
      <c r="A83" s="964" t="s">
        <v>10</v>
      </c>
      <c r="B83" s="964"/>
      <c r="C83" s="284" t="s">
        <v>81</v>
      </c>
      <c r="D83" s="286"/>
      <c r="E83" s="877"/>
      <c r="F83" s="877"/>
      <c r="G83" s="877"/>
      <c r="H83" s="868"/>
      <c r="I83" s="868"/>
      <c r="J83" s="868"/>
      <c r="K83" s="145"/>
      <c r="L83" s="145"/>
      <c r="M83" s="145"/>
      <c r="N83" s="145"/>
      <c r="O83" s="145"/>
    </row>
    <row r="84" spans="1:15" ht="15.75" thickBot="1" x14ac:dyDescent="0.3">
      <c r="A84" s="965" t="s">
        <v>11</v>
      </c>
      <c r="B84" s="965"/>
      <c r="C84" s="526" t="s">
        <v>82</v>
      </c>
      <c r="D84" s="528"/>
      <c r="E84" s="887">
        <v>0.05</v>
      </c>
      <c r="F84" s="887"/>
      <c r="G84" s="887"/>
      <c r="H84" s="888">
        <f>E84*D89</f>
        <v>157.36750000000001</v>
      </c>
      <c r="I84" s="888"/>
      <c r="J84" s="888"/>
      <c r="K84" s="145"/>
      <c r="L84" s="145"/>
      <c r="M84" s="145"/>
      <c r="N84" s="145"/>
      <c r="O84" s="145"/>
    </row>
    <row r="85" spans="1:15" ht="15" customHeight="1" thickBot="1" x14ac:dyDescent="0.3">
      <c r="A85" s="507" t="s">
        <v>321</v>
      </c>
      <c r="B85" s="508"/>
      <c r="C85" s="508"/>
      <c r="D85" s="508"/>
      <c r="E85" s="508"/>
      <c r="F85" s="508"/>
      <c r="G85" s="508"/>
      <c r="H85" s="894">
        <f>H78+H79+H81+H82+H84</f>
        <v>967.54747943933785</v>
      </c>
      <c r="I85" s="895"/>
      <c r="J85" s="896"/>
    </row>
    <row r="86" spans="1:15" ht="11.25" customHeight="1" thickBot="1" x14ac:dyDescent="0.3">
      <c r="A86" s="147"/>
      <c r="B86" s="147"/>
      <c r="C86" s="143"/>
      <c r="D86" s="143"/>
      <c r="E86" s="153"/>
      <c r="F86" s="153"/>
      <c r="G86" s="153"/>
      <c r="H86" s="166"/>
      <c r="I86" s="166"/>
      <c r="J86" s="166"/>
    </row>
    <row r="87" spans="1:15" ht="15.75" thickBot="1" x14ac:dyDescent="0.3">
      <c r="A87" s="939" t="s">
        <v>85</v>
      </c>
      <c r="B87" s="940"/>
      <c r="C87" s="940"/>
      <c r="D87" s="940"/>
      <c r="E87" s="940"/>
      <c r="F87" s="940"/>
      <c r="G87" s="948"/>
      <c r="H87" s="941">
        <f>SUM(H85+H75+E68+H47+E38+E12)</f>
        <v>4528.1649643434303</v>
      </c>
      <c r="I87" s="942"/>
      <c r="J87" s="943"/>
    </row>
    <row r="88" spans="1:15" x14ac:dyDescent="0.25">
      <c r="A88" s="145"/>
      <c r="B88" s="145"/>
      <c r="C88" s="145"/>
      <c r="D88" s="145"/>
      <c r="E88" s="133"/>
      <c r="F88" s="133"/>
      <c r="G88" s="133"/>
      <c r="H88" s="145"/>
      <c r="I88" s="145"/>
      <c r="J88" s="145"/>
    </row>
    <row r="89" spans="1:15" ht="15.75" thickBot="1" x14ac:dyDescent="0.3">
      <c r="D89" s="167">
        <v>3147.35</v>
      </c>
    </row>
  </sheetData>
  <mergeCells count="233">
    <mergeCell ref="A1:J1"/>
    <mergeCell ref="A47:G47"/>
    <mergeCell ref="A85:G85"/>
    <mergeCell ref="A75:G75"/>
    <mergeCell ref="A87:G87"/>
    <mergeCell ref="H87:J87"/>
    <mergeCell ref="A84:B84"/>
    <mergeCell ref="C84:D84"/>
    <mergeCell ref="E84:G84"/>
    <mergeCell ref="H84:J84"/>
    <mergeCell ref="H85:J85"/>
    <mergeCell ref="A82:B82"/>
    <mergeCell ref="C82:D82"/>
    <mergeCell ref="E82:G82"/>
    <mergeCell ref="H82:J82"/>
    <mergeCell ref="A83:B83"/>
    <mergeCell ref="C83:D83"/>
    <mergeCell ref="E83:G83"/>
    <mergeCell ref="H83:J83"/>
    <mergeCell ref="A80:B80"/>
    <mergeCell ref="C80:D80"/>
    <mergeCell ref="E80:G80"/>
    <mergeCell ref="H80:J80"/>
    <mergeCell ref="A81:B81"/>
    <mergeCell ref="C81:D81"/>
    <mergeCell ref="E81:G81"/>
    <mergeCell ref="H81:J81"/>
    <mergeCell ref="A77:J77"/>
    <mergeCell ref="A78:B78"/>
    <mergeCell ref="C78:D78"/>
    <mergeCell ref="E78:G78"/>
    <mergeCell ref="H78:J78"/>
    <mergeCell ref="A79:B79"/>
    <mergeCell ref="C79:D79"/>
    <mergeCell ref="E79:G79"/>
    <mergeCell ref="H79:J79"/>
    <mergeCell ref="A74:B74"/>
    <mergeCell ref="C74:D74"/>
    <mergeCell ref="E74:G74"/>
    <mergeCell ref="H74:J74"/>
    <mergeCell ref="H75:J75"/>
    <mergeCell ref="A72:B72"/>
    <mergeCell ref="C72:D72"/>
    <mergeCell ref="H72:J72"/>
    <mergeCell ref="A73:B73"/>
    <mergeCell ref="C73:D73"/>
    <mergeCell ref="E73:G73"/>
    <mergeCell ref="H73:J73"/>
    <mergeCell ref="A68:D68"/>
    <mergeCell ref="E68:J68"/>
    <mergeCell ref="A70:J70"/>
    <mergeCell ref="A71:B71"/>
    <mergeCell ref="C71:D71"/>
    <mergeCell ref="E71:G71"/>
    <mergeCell ref="H71:J71"/>
    <mergeCell ref="A66:B66"/>
    <mergeCell ref="C66:D66"/>
    <mergeCell ref="H66:J66"/>
    <mergeCell ref="A67:D67"/>
    <mergeCell ref="E67:G67"/>
    <mergeCell ref="H67:J67"/>
    <mergeCell ref="A63:D63"/>
    <mergeCell ref="E63:G63"/>
    <mergeCell ref="H63:J63"/>
    <mergeCell ref="A64:J64"/>
    <mergeCell ref="A65:B65"/>
    <mergeCell ref="C65:D65"/>
    <mergeCell ref="H65:J65"/>
    <mergeCell ref="A61:B61"/>
    <mergeCell ref="C61:D61"/>
    <mergeCell ref="E61:G61"/>
    <mergeCell ref="H61:J61"/>
    <mergeCell ref="A62:B62"/>
    <mergeCell ref="C62:D62"/>
    <mergeCell ref="E62:G62"/>
    <mergeCell ref="H62:J62"/>
    <mergeCell ref="A58:J58"/>
    <mergeCell ref="A59:B59"/>
    <mergeCell ref="C59:D59"/>
    <mergeCell ref="H59:J59"/>
    <mergeCell ref="A60:B60"/>
    <mergeCell ref="C60:D60"/>
    <mergeCell ref="H60:J60"/>
    <mergeCell ref="A56:B56"/>
    <mergeCell ref="C56:D56"/>
    <mergeCell ref="E56:G56"/>
    <mergeCell ref="H56:J56"/>
    <mergeCell ref="A57:D57"/>
    <mergeCell ref="E57:G57"/>
    <mergeCell ref="H57:J57"/>
    <mergeCell ref="A54:B54"/>
    <mergeCell ref="C54:D54"/>
    <mergeCell ref="E54:G54"/>
    <mergeCell ref="H54:J54"/>
    <mergeCell ref="A55:B55"/>
    <mergeCell ref="C55:D55"/>
    <mergeCell ref="E55:G55"/>
    <mergeCell ref="H55:J55"/>
    <mergeCell ref="A52:B52"/>
    <mergeCell ref="C52:D52"/>
    <mergeCell ref="E52:G52"/>
    <mergeCell ref="H52:J52"/>
    <mergeCell ref="A53:B53"/>
    <mergeCell ref="C53:D53"/>
    <mergeCell ref="E53:G53"/>
    <mergeCell ref="H53:J53"/>
    <mergeCell ref="A49:J49"/>
    <mergeCell ref="A50:B50"/>
    <mergeCell ref="C50:D50"/>
    <mergeCell ref="H50:J50"/>
    <mergeCell ref="A51:B51"/>
    <mergeCell ref="C51:D51"/>
    <mergeCell ref="H51:J51"/>
    <mergeCell ref="A46:B46"/>
    <mergeCell ref="C46:D46"/>
    <mergeCell ref="E46:G46"/>
    <mergeCell ref="H46:J46"/>
    <mergeCell ref="H47:J47"/>
    <mergeCell ref="A44:B44"/>
    <mergeCell ref="C44:D44"/>
    <mergeCell ref="E44:G44"/>
    <mergeCell ref="H44:J44"/>
    <mergeCell ref="A45:B45"/>
    <mergeCell ref="C45:D45"/>
    <mergeCell ref="E45:G45"/>
    <mergeCell ref="H45:J45"/>
    <mergeCell ref="A42:B42"/>
    <mergeCell ref="C42:D42"/>
    <mergeCell ref="H42:J42"/>
    <mergeCell ref="A43:B43"/>
    <mergeCell ref="C43:D43"/>
    <mergeCell ref="E43:G43"/>
    <mergeCell ref="H43:J43"/>
    <mergeCell ref="A38:D38"/>
    <mergeCell ref="E38:J38"/>
    <mergeCell ref="A39:J39"/>
    <mergeCell ref="A40:J40"/>
    <mergeCell ref="A41:B41"/>
    <mergeCell ref="C41:D41"/>
    <mergeCell ref="H41:J41"/>
    <mergeCell ref="A36:B36"/>
    <mergeCell ref="C36:D36"/>
    <mergeCell ref="E36:G36"/>
    <mergeCell ref="H36:J36"/>
    <mergeCell ref="A37:G37"/>
    <mergeCell ref="H37:J37"/>
    <mergeCell ref="A33:B33"/>
    <mergeCell ref="C33:D33"/>
    <mergeCell ref="E33:G33"/>
    <mergeCell ref="H33:J33"/>
    <mergeCell ref="A35:B35"/>
    <mergeCell ref="C35:D35"/>
    <mergeCell ref="E35:G35"/>
    <mergeCell ref="H35:J35"/>
    <mergeCell ref="A30:D30"/>
    <mergeCell ref="E30:G30"/>
    <mergeCell ref="H30:J30"/>
    <mergeCell ref="A31:J31"/>
    <mergeCell ref="A32:B32"/>
    <mergeCell ref="C32:D32"/>
    <mergeCell ref="E32:G32"/>
    <mergeCell ref="H32:J32"/>
    <mergeCell ref="C34:D34"/>
    <mergeCell ref="E34:G34"/>
    <mergeCell ref="H34:J34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O93"/>
  <sheetViews>
    <sheetView topLeftCell="A68" workbookViewId="0">
      <selection activeCell="L20" sqref="L20"/>
    </sheetView>
  </sheetViews>
  <sheetFormatPr defaultRowHeight="15" x14ac:dyDescent="0.25"/>
  <cols>
    <col min="1" max="1" width="6.85546875" style="146" customWidth="1"/>
    <col min="2" max="2" width="3.5703125" style="146" customWidth="1"/>
    <col min="3" max="3" width="11" style="134" customWidth="1"/>
    <col min="4" max="4" width="40.7109375" style="134" customWidth="1"/>
    <col min="5" max="5" width="3.140625" style="116" customWidth="1"/>
    <col min="6" max="6" width="2.5703125" style="116" customWidth="1"/>
    <col min="7" max="7" width="3.28515625" style="116" customWidth="1"/>
    <col min="8" max="8" width="3.7109375" style="134" customWidth="1"/>
    <col min="9" max="9" width="0.8554687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393</v>
      </c>
      <c r="E2" s="738"/>
      <c r="F2" s="738"/>
      <c r="G2" s="738"/>
      <c r="H2" s="738"/>
      <c r="I2" s="738"/>
      <c r="J2" s="739"/>
      <c r="K2" s="136"/>
    </row>
    <row r="3" spans="1:15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ht="13.5" customHeight="1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36">
        <v>1350</v>
      </c>
      <c r="F6" s="937"/>
      <c r="G6" s="937"/>
      <c r="H6" s="937"/>
      <c r="I6" s="937"/>
      <c r="J6" s="937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32"/>
      <c r="F7" s="933"/>
      <c r="G7" s="933"/>
      <c r="H7" s="933"/>
      <c r="I7" s="933"/>
      <c r="J7" s="934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32"/>
      <c r="F8" s="933"/>
      <c r="G8" s="933"/>
      <c r="H8" s="933"/>
      <c r="I8" s="933"/>
      <c r="J8" s="934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32"/>
      <c r="F9" s="933"/>
      <c r="G9" s="933"/>
      <c r="H9" s="933"/>
      <c r="I9" s="933"/>
      <c r="J9" s="934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35"/>
      <c r="F10" s="935"/>
      <c r="G10" s="935"/>
      <c r="H10" s="935"/>
      <c r="I10" s="935"/>
      <c r="J10" s="935"/>
      <c r="K10" s="145"/>
      <c r="L10" s="145"/>
      <c r="M10" s="145"/>
      <c r="N10" s="145"/>
      <c r="O10" s="145"/>
    </row>
    <row r="11" spans="1:15" ht="30" customHeight="1" thickBot="1" x14ac:dyDescent="0.3">
      <c r="A11" s="141" t="s">
        <v>11</v>
      </c>
      <c r="B11" s="609" t="s">
        <v>92</v>
      </c>
      <c r="C11" s="610"/>
      <c r="D11" s="611"/>
      <c r="E11" s="888"/>
      <c r="F11" s="888"/>
      <c r="G11" s="888"/>
      <c r="H11" s="888"/>
      <c r="I11" s="888"/>
      <c r="J11" s="888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25"/>
      <c r="E12" s="894">
        <f>SUM(E6:J11)</f>
        <v>1350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5.5" customHeight="1" x14ac:dyDescent="0.25">
      <c r="A13" s="551" t="s">
        <v>29</v>
      </c>
      <c r="B13" s="715"/>
      <c r="C13" s="715"/>
      <c r="D13" s="716"/>
      <c r="E13" s="926">
        <f>E12*E30</f>
        <v>469.80000000000007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0.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27.75" customHeight="1" thickBot="1" x14ac:dyDescent="0.3">
      <c r="A16" s="507" t="s">
        <v>345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112.455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163.35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275.80500000000001</v>
      </c>
      <c r="I19" s="921"/>
      <c r="J19" s="921"/>
      <c r="K19" s="145"/>
      <c r="L19" s="145"/>
      <c r="M19" s="145"/>
      <c r="N19" s="145"/>
      <c r="O19" s="145"/>
    </row>
    <row r="20" spans="1:15" ht="27.7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105.57000000000001</v>
      </c>
      <c r="I20" s="923"/>
      <c r="J20" s="924"/>
      <c r="K20" s="145"/>
      <c r="L20" s="145"/>
      <c r="M20" s="145"/>
      <c r="N20" s="145"/>
      <c r="O20" s="145"/>
    </row>
    <row r="21" spans="1:15" ht="28.5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325.16100000000006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40.645125000000007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0.01</v>
      </c>
      <c r="F24" s="917"/>
      <c r="G24" s="917"/>
      <c r="H24" s="868">
        <f>E24*(E12+H19)</f>
        <v>16.258050000000001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24.387074999999999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16.258050000000001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9.7548300000000001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3.2516100000000003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130.06440000000001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0.34800000000000003</v>
      </c>
      <c r="F30" s="880"/>
      <c r="G30" s="881"/>
      <c r="H30" s="869">
        <f>SUM(H22:J29)</f>
        <v>565.78014000000019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(3.9*2*16)-6%*E6</f>
        <v>43.8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>
        <f>12.5*16-20%</f>
        <v>199.8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478"/>
      <c r="B34" s="479"/>
      <c r="C34" s="284" t="s">
        <v>150</v>
      </c>
      <c r="D34" s="286"/>
      <c r="E34" s="909"/>
      <c r="F34" s="910"/>
      <c r="G34" s="911"/>
      <c r="H34" s="922">
        <f>156.45-(156.45*0.5%)</f>
        <v>155.66774999999998</v>
      </c>
      <c r="I34" s="923"/>
      <c r="J34" s="924"/>
      <c r="K34" s="145"/>
      <c r="L34" s="145"/>
      <c r="M34" s="145"/>
      <c r="N34" s="145"/>
      <c r="O34" s="145"/>
    </row>
    <row r="35" spans="1:15" x14ac:dyDescent="0.25">
      <c r="A35" s="478" t="s">
        <v>8</v>
      </c>
      <c r="B35" s="479"/>
      <c r="C35" s="284" t="s">
        <v>49</v>
      </c>
      <c r="D35" s="286"/>
      <c r="E35" s="877"/>
      <c r="F35" s="877"/>
      <c r="G35" s="877"/>
      <c r="H35" s="868">
        <v>105.05</v>
      </c>
      <c r="I35" s="868"/>
      <c r="J35" s="868"/>
      <c r="K35" s="145"/>
      <c r="L35" s="145"/>
      <c r="M35" s="145"/>
      <c r="N35" s="145"/>
      <c r="O35" s="145"/>
    </row>
    <row r="36" spans="1:15" x14ac:dyDescent="0.25">
      <c r="A36" s="478" t="s">
        <v>9</v>
      </c>
      <c r="B36" s="479"/>
      <c r="C36" s="478" t="s">
        <v>28</v>
      </c>
      <c r="D36" s="479"/>
      <c r="E36" s="877"/>
      <c r="F36" s="877"/>
      <c r="G36" s="877"/>
      <c r="H36" s="868">
        <v>108.9</v>
      </c>
      <c r="I36" s="868"/>
      <c r="J36" s="868"/>
      <c r="K36" s="145"/>
      <c r="L36" s="145"/>
      <c r="M36" s="145"/>
      <c r="N36" s="145"/>
      <c r="O36" s="145"/>
    </row>
    <row r="37" spans="1:15" ht="15.75" thickBot="1" x14ac:dyDescent="0.3">
      <c r="A37" s="905" t="s">
        <v>38</v>
      </c>
      <c r="B37" s="906"/>
      <c r="C37" s="906"/>
      <c r="D37" s="906"/>
      <c r="E37" s="906"/>
      <c r="F37" s="906"/>
      <c r="G37" s="907"/>
      <c r="H37" s="867">
        <f>SUM(H32:J36)</f>
        <v>613.21775000000002</v>
      </c>
      <c r="I37" s="867"/>
      <c r="J37" s="867"/>
      <c r="K37" s="145"/>
      <c r="L37" s="145"/>
      <c r="M37" s="145"/>
      <c r="N37" s="145"/>
      <c r="O37" s="145"/>
    </row>
    <row r="38" spans="1:15" ht="15.75" thickBot="1" x14ac:dyDescent="0.3">
      <c r="A38" s="882" t="s">
        <v>72</v>
      </c>
      <c r="B38" s="883"/>
      <c r="C38" s="883"/>
      <c r="D38" s="925"/>
      <c r="E38" s="938">
        <f>H19+H30+H37</f>
        <v>1454.8028900000002</v>
      </c>
      <c r="F38" s="885"/>
      <c r="G38" s="885"/>
      <c r="H38" s="885"/>
      <c r="I38" s="885"/>
      <c r="J38" s="886"/>
      <c r="K38" s="145"/>
      <c r="L38" s="145"/>
      <c r="M38" s="145"/>
      <c r="N38" s="145"/>
      <c r="O38" s="145"/>
    </row>
    <row r="39" spans="1:15" ht="10.5" customHeight="1" thickBot="1" x14ac:dyDescent="0.3">
      <c r="A39" s="908"/>
      <c r="B39" s="908"/>
      <c r="C39" s="908"/>
      <c r="D39" s="908"/>
      <c r="E39" s="908"/>
      <c r="F39" s="908"/>
      <c r="G39" s="908"/>
      <c r="H39" s="908"/>
      <c r="I39" s="908"/>
      <c r="J39" s="908"/>
      <c r="K39" s="145"/>
      <c r="L39" s="145"/>
      <c r="M39" s="145"/>
      <c r="N39" s="145"/>
      <c r="O39" s="145"/>
    </row>
    <row r="40" spans="1:15" ht="27" customHeight="1" thickBot="1" x14ac:dyDescent="0.3">
      <c r="A40" s="494" t="s">
        <v>129</v>
      </c>
      <c r="B40" s="495"/>
      <c r="C40" s="495"/>
      <c r="D40" s="495"/>
      <c r="E40" s="495"/>
      <c r="F40" s="495"/>
      <c r="G40" s="495"/>
      <c r="H40" s="495"/>
      <c r="I40" s="495"/>
      <c r="J40" s="496"/>
      <c r="K40" s="136"/>
    </row>
    <row r="41" spans="1:15" x14ac:dyDescent="0.25">
      <c r="A41" s="962" t="s">
        <v>2</v>
      </c>
      <c r="B41" s="963"/>
      <c r="C41" s="454" t="s">
        <v>51</v>
      </c>
      <c r="D41" s="455"/>
      <c r="E41" s="150"/>
      <c r="F41" s="151"/>
      <c r="G41" s="152"/>
      <c r="H41" s="870">
        <f>E12/12*5%</f>
        <v>5.625</v>
      </c>
      <c r="I41" s="871"/>
      <c r="J41" s="455"/>
      <c r="K41" s="145"/>
      <c r="L41" s="145"/>
      <c r="M41" s="145"/>
      <c r="N41" s="145"/>
      <c r="O41" s="145"/>
    </row>
    <row r="42" spans="1:15" x14ac:dyDescent="0.25">
      <c r="A42" s="962" t="s">
        <v>7</v>
      </c>
      <c r="B42" s="963"/>
      <c r="C42" s="454" t="s">
        <v>52</v>
      </c>
      <c r="D42" s="455"/>
      <c r="E42" s="150"/>
      <c r="F42" s="151"/>
      <c r="G42" s="152"/>
      <c r="H42" s="870">
        <f>H41*8%</f>
        <v>0.45</v>
      </c>
      <c r="I42" s="871"/>
      <c r="J42" s="455"/>
      <c r="K42" s="145"/>
      <c r="L42" s="145"/>
      <c r="M42" s="145"/>
      <c r="N42" s="145"/>
      <c r="O42" s="145"/>
    </row>
    <row r="43" spans="1:15" ht="27.75" customHeight="1" x14ac:dyDescent="0.25">
      <c r="A43" s="962" t="s">
        <v>8</v>
      </c>
      <c r="B43" s="963"/>
      <c r="C43" s="320" t="s">
        <v>53</v>
      </c>
      <c r="D43" s="321"/>
      <c r="E43" s="873"/>
      <c r="F43" s="874"/>
      <c r="G43" s="875"/>
      <c r="H43" s="868">
        <f>E43*E12</f>
        <v>0</v>
      </c>
      <c r="I43" s="868"/>
      <c r="J43" s="868"/>
      <c r="K43" s="145"/>
      <c r="L43" s="145"/>
      <c r="M43" s="145"/>
      <c r="N43" s="145"/>
      <c r="O43" s="145"/>
    </row>
    <row r="44" spans="1:15" x14ac:dyDescent="0.25">
      <c r="A44" s="964" t="s">
        <v>9</v>
      </c>
      <c r="B44" s="964"/>
      <c r="C44" s="284" t="s">
        <v>54</v>
      </c>
      <c r="D44" s="286"/>
      <c r="E44" s="877"/>
      <c r="F44" s="877"/>
      <c r="G44" s="877"/>
      <c r="H44" s="868">
        <f>E12/30/12*7*100%</f>
        <v>26.25</v>
      </c>
      <c r="I44" s="868"/>
      <c r="J44" s="868"/>
      <c r="K44" s="145"/>
      <c r="L44" s="145"/>
      <c r="M44" s="145"/>
      <c r="N44" s="145"/>
      <c r="O44" s="145"/>
    </row>
    <row r="45" spans="1:15" ht="27.75" customHeight="1" x14ac:dyDescent="0.25">
      <c r="A45" s="964" t="s">
        <v>10</v>
      </c>
      <c r="B45" s="964"/>
      <c r="C45" s="478" t="s">
        <v>83</v>
      </c>
      <c r="D45" s="479"/>
      <c r="E45" s="877"/>
      <c r="F45" s="877"/>
      <c r="G45" s="877"/>
      <c r="H45" s="868">
        <f>H44*39.8%</f>
        <v>10.4475</v>
      </c>
      <c r="I45" s="868"/>
      <c r="J45" s="868"/>
      <c r="K45" s="145"/>
      <c r="L45" s="145"/>
      <c r="M45" s="145"/>
      <c r="N45" s="145"/>
      <c r="O45" s="145"/>
    </row>
    <row r="46" spans="1:15" ht="28.5" customHeight="1" thickBot="1" x14ac:dyDescent="0.3">
      <c r="A46" s="475" t="s">
        <v>11</v>
      </c>
      <c r="B46" s="476"/>
      <c r="C46" s="834" t="s">
        <v>53</v>
      </c>
      <c r="D46" s="835"/>
      <c r="E46" s="897"/>
      <c r="F46" s="898"/>
      <c r="G46" s="899"/>
      <c r="H46" s="900">
        <f>E12*5%</f>
        <v>67.5</v>
      </c>
      <c r="I46" s="901"/>
      <c r="J46" s="902"/>
      <c r="K46" s="145"/>
      <c r="L46" s="145"/>
      <c r="M46" s="145"/>
      <c r="N46" s="145"/>
      <c r="O46" s="145"/>
    </row>
    <row r="47" spans="1:15" ht="15" customHeight="1" thickBot="1" x14ac:dyDescent="0.3">
      <c r="A47" s="507" t="s">
        <v>318</v>
      </c>
      <c r="B47" s="508"/>
      <c r="C47" s="508"/>
      <c r="D47" s="508"/>
      <c r="E47" s="508"/>
      <c r="F47" s="508"/>
      <c r="G47" s="509"/>
      <c r="H47" s="894">
        <f>SUM(H41:J46)</f>
        <v>110.27250000000001</v>
      </c>
      <c r="I47" s="895"/>
      <c r="J47" s="896"/>
      <c r="K47" s="145"/>
      <c r="L47" s="145"/>
      <c r="M47" s="145"/>
      <c r="N47" s="145"/>
      <c r="O47" s="145"/>
    </row>
    <row r="48" spans="1:15" ht="9.75" customHeight="1" thickBot="1" x14ac:dyDescent="0.3">
      <c r="A48" s="147"/>
      <c r="B48" s="147"/>
      <c r="C48" s="143"/>
      <c r="D48" s="143"/>
      <c r="E48" s="153"/>
      <c r="F48" s="153"/>
      <c r="G48" s="153"/>
      <c r="H48" s="166"/>
      <c r="I48" s="166"/>
      <c r="J48" s="166"/>
      <c r="K48" s="145"/>
      <c r="L48" s="145"/>
      <c r="M48" s="145"/>
      <c r="N48" s="145"/>
      <c r="O48" s="145"/>
    </row>
    <row r="49" spans="1:15" ht="27" customHeight="1" thickBot="1" x14ac:dyDescent="0.3">
      <c r="A49" s="494" t="s">
        <v>359</v>
      </c>
      <c r="B49" s="495"/>
      <c r="C49" s="495"/>
      <c r="D49" s="495"/>
      <c r="E49" s="495"/>
      <c r="F49" s="495"/>
      <c r="G49" s="495"/>
      <c r="H49" s="495"/>
      <c r="I49" s="495"/>
      <c r="J49" s="496"/>
      <c r="K49" s="136"/>
    </row>
    <row r="50" spans="1:15" x14ac:dyDescent="0.25">
      <c r="A50" s="962" t="s">
        <v>2</v>
      </c>
      <c r="B50" s="963"/>
      <c r="C50" s="454" t="s">
        <v>56</v>
      </c>
      <c r="D50" s="455"/>
      <c r="E50" s="150"/>
      <c r="F50" s="151"/>
      <c r="G50" s="152"/>
      <c r="H50" s="870">
        <f>E20/12*5%</f>
        <v>3.2583333333333336E-4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7</v>
      </c>
      <c r="B51" s="963"/>
      <c r="C51" s="454" t="s">
        <v>57</v>
      </c>
      <c r="D51" s="455"/>
      <c r="E51" s="150"/>
      <c r="F51" s="151"/>
      <c r="G51" s="152"/>
      <c r="H51" s="870">
        <f>E12/30/12</f>
        <v>3.75</v>
      </c>
      <c r="I51" s="871"/>
      <c r="J51" s="455"/>
      <c r="K51" s="145"/>
      <c r="L51" s="145"/>
      <c r="M51" s="145"/>
      <c r="N51" s="145"/>
      <c r="O51" s="145"/>
    </row>
    <row r="52" spans="1:15" x14ac:dyDescent="0.25">
      <c r="A52" s="962" t="s">
        <v>8</v>
      </c>
      <c r="B52" s="963"/>
      <c r="C52" s="320" t="s">
        <v>58</v>
      </c>
      <c r="D52" s="321"/>
      <c r="E52" s="873"/>
      <c r="F52" s="874"/>
      <c r="G52" s="875"/>
      <c r="H52" s="868">
        <f>E12/30/12*5*1.5%</f>
        <v>0.28125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9</v>
      </c>
      <c r="B53" s="964"/>
      <c r="C53" s="284" t="s">
        <v>59</v>
      </c>
      <c r="D53" s="286"/>
      <c r="E53" s="877"/>
      <c r="F53" s="877"/>
      <c r="G53" s="877"/>
      <c r="H53" s="868">
        <f>E12/30/12*15*8%</f>
        <v>4.5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10</v>
      </c>
      <c r="B54" s="964"/>
      <c r="C54" s="478" t="s">
        <v>60</v>
      </c>
      <c r="D54" s="479"/>
      <c r="E54" s="877"/>
      <c r="F54" s="877"/>
      <c r="G54" s="877"/>
      <c r="H54" s="868">
        <f>E20*5%</f>
        <v>3.9100000000000003E-3</v>
      </c>
      <c r="I54" s="868"/>
      <c r="J54" s="868"/>
      <c r="K54" s="145"/>
      <c r="L54" s="145"/>
      <c r="M54" s="145"/>
      <c r="N54" s="145"/>
      <c r="O54" s="145"/>
    </row>
    <row r="55" spans="1:15" x14ac:dyDescent="0.25">
      <c r="A55" s="964" t="s">
        <v>11</v>
      </c>
      <c r="B55" s="964"/>
      <c r="C55" s="478" t="s">
        <v>61</v>
      </c>
      <c r="D55" s="479"/>
      <c r="E55" s="877"/>
      <c r="F55" s="877"/>
      <c r="G55" s="877"/>
      <c r="H55" s="868">
        <f>E12/30/12*5*40%</f>
        <v>7.5</v>
      </c>
      <c r="I55" s="868"/>
      <c r="J55" s="868"/>
      <c r="K55" s="145"/>
      <c r="L55" s="145"/>
      <c r="M55" s="145"/>
      <c r="N55" s="145"/>
      <c r="O55" s="145"/>
    </row>
    <row r="56" spans="1:15" ht="27.75" customHeight="1" x14ac:dyDescent="0.25">
      <c r="A56" s="964" t="s">
        <v>39</v>
      </c>
      <c r="B56" s="964"/>
      <c r="C56" s="478" t="s">
        <v>62</v>
      </c>
      <c r="D56" s="479"/>
      <c r="E56" s="877"/>
      <c r="F56" s="877"/>
      <c r="G56" s="877"/>
      <c r="H56" s="868">
        <f>SUM(H50:J55)*39.8%</f>
        <v>6.3821233616666655</v>
      </c>
      <c r="I56" s="868"/>
      <c r="J56" s="868"/>
      <c r="K56" s="145"/>
      <c r="L56" s="145"/>
      <c r="M56" s="145"/>
      <c r="N56" s="145"/>
      <c r="O56" s="145"/>
    </row>
    <row r="57" spans="1:15" ht="15.75" thickBot="1" x14ac:dyDescent="0.3">
      <c r="A57" s="878" t="s">
        <v>36</v>
      </c>
      <c r="B57" s="878"/>
      <c r="C57" s="878"/>
      <c r="D57" s="878"/>
      <c r="E57" s="879"/>
      <c r="F57" s="880"/>
      <c r="G57" s="881"/>
      <c r="H57" s="869">
        <f>SUM(H50:J56)</f>
        <v>22.417609194999997</v>
      </c>
      <c r="I57" s="869"/>
      <c r="J57" s="869"/>
      <c r="K57" s="145"/>
      <c r="L57" s="145"/>
      <c r="M57" s="145"/>
      <c r="N57" s="145"/>
      <c r="O57" s="145"/>
    </row>
    <row r="58" spans="1:15" ht="15.75" thickBot="1" x14ac:dyDescent="0.3">
      <c r="A58" s="507" t="s">
        <v>127</v>
      </c>
      <c r="B58" s="508"/>
      <c r="C58" s="508"/>
      <c r="D58" s="508"/>
      <c r="E58" s="508"/>
      <c r="F58" s="508"/>
      <c r="G58" s="508"/>
      <c r="H58" s="508"/>
      <c r="I58" s="508"/>
      <c r="J58" s="509"/>
      <c r="K58" s="136"/>
    </row>
    <row r="59" spans="1:15" ht="32.25" customHeight="1" x14ac:dyDescent="0.25">
      <c r="A59" s="962" t="s">
        <v>2</v>
      </c>
      <c r="B59" s="963"/>
      <c r="C59" s="454" t="s">
        <v>64</v>
      </c>
      <c r="D59" s="455"/>
      <c r="E59" s="150"/>
      <c r="F59" s="151"/>
      <c r="G59" s="152"/>
      <c r="H59" s="870">
        <f>((((E12+(E12/3))*0.3333)/12)*2%)</f>
        <v>0.99990000000000001</v>
      </c>
      <c r="I59" s="871"/>
      <c r="J59" s="455"/>
      <c r="K59" s="145"/>
      <c r="L59" s="145"/>
      <c r="M59" s="145"/>
      <c r="N59" s="145"/>
      <c r="O59" s="145"/>
    </row>
    <row r="60" spans="1:15" ht="45.75" customHeight="1" x14ac:dyDescent="0.25">
      <c r="A60" s="962" t="s">
        <v>7</v>
      </c>
      <c r="B60" s="963"/>
      <c r="C60" s="454" t="s">
        <v>65</v>
      </c>
      <c r="D60" s="455"/>
      <c r="E60" s="150"/>
      <c r="F60" s="151"/>
      <c r="G60" s="152"/>
      <c r="H60" s="870">
        <f>H59*39.8%</f>
        <v>0.39796019999999999</v>
      </c>
      <c r="I60" s="871"/>
      <c r="J60" s="455"/>
      <c r="K60" s="145"/>
      <c r="L60" s="145"/>
      <c r="M60" s="145"/>
      <c r="N60" s="145"/>
      <c r="O60" s="145"/>
    </row>
    <row r="61" spans="1:15" ht="44.25" customHeight="1" x14ac:dyDescent="0.25">
      <c r="A61" s="962" t="s">
        <v>8</v>
      </c>
      <c r="B61" s="963"/>
      <c r="C61" s="454" t="s">
        <v>66</v>
      </c>
      <c r="D61" s="455"/>
      <c r="E61" s="873"/>
      <c r="F61" s="874"/>
      <c r="G61" s="875"/>
      <c r="H61" s="868">
        <f>(((E12+H17)*0.333)*2%)*39.8%</f>
        <v>3.8765002193999996</v>
      </c>
      <c r="I61" s="868"/>
      <c r="J61" s="868"/>
      <c r="K61" s="145"/>
      <c r="L61" s="145"/>
      <c r="M61" s="145"/>
      <c r="N61" s="145"/>
      <c r="O61" s="145"/>
    </row>
    <row r="62" spans="1:15" x14ac:dyDescent="0.25">
      <c r="A62" s="964" t="s">
        <v>9</v>
      </c>
      <c r="B62" s="964"/>
      <c r="C62" s="284" t="s">
        <v>67</v>
      </c>
      <c r="D62" s="286"/>
      <c r="E62" s="877"/>
      <c r="F62" s="877"/>
      <c r="G62" s="877"/>
      <c r="H62" s="868"/>
      <c r="I62" s="868"/>
      <c r="J62" s="868"/>
      <c r="K62" s="145"/>
      <c r="L62" s="145"/>
      <c r="M62" s="145"/>
      <c r="N62" s="145"/>
      <c r="O62" s="145"/>
    </row>
    <row r="63" spans="1:15" ht="15.75" thickBot="1" x14ac:dyDescent="0.3">
      <c r="A63" s="878" t="s">
        <v>36</v>
      </c>
      <c r="B63" s="878"/>
      <c r="C63" s="878"/>
      <c r="D63" s="878"/>
      <c r="E63" s="879"/>
      <c r="F63" s="880"/>
      <c r="G63" s="881"/>
      <c r="H63" s="869">
        <f>SUM(H59:J62)</f>
        <v>5.2743604193999998</v>
      </c>
      <c r="I63" s="869"/>
      <c r="J63" s="869"/>
      <c r="K63" s="145"/>
      <c r="L63" s="145"/>
      <c r="M63" s="145"/>
      <c r="N63" s="145"/>
      <c r="O63" s="145"/>
    </row>
    <row r="64" spans="1:15" ht="15.75" thickBot="1" x14ac:dyDescent="0.3">
      <c r="A64" s="507" t="s">
        <v>126</v>
      </c>
      <c r="B64" s="508"/>
      <c r="C64" s="508"/>
      <c r="D64" s="508"/>
      <c r="E64" s="508"/>
      <c r="F64" s="508"/>
      <c r="G64" s="508"/>
      <c r="H64" s="508"/>
      <c r="I64" s="508"/>
      <c r="J64" s="509"/>
      <c r="K64" s="136"/>
    </row>
    <row r="65" spans="1:15" ht="29.25" customHeight="1" x14ac:dyDescent="0.25">
      <c r="A65" s="962" t="s">
        <v>2</v>
      </c>
      <c r="B65" s="963"/>
      <c r="C65" s="454" t="s">
        <v>69</v>
      </c>
      <c r="D65" s="455"/>
      <c r="E65" s="150"/>
      <c r="F65" s="151"/>
      <c r="G65" s="152"/>
      <c r="H65" s="870">
        <f>((((E18+(E18/3))*0.3333)/12)*2%)</f>
        <v>8.9620666666666654E-5</v>
      </c>
      <c r="I65" s="871"/>
      <c r="J65" s="455"/>
      <c r="K65" s="145"/>
      <c r="L65" s="145"/>
      <c r="M65" s="145"/>
      <c r="N65" s="145"/>
      <c r="O65" s="145"/>
    </row>
    <row r="66" spans="1:15" ht="29.25" customHeight="1" x14ac:dyDescent="0.25">
      <c r="A66" s="962" t="s">
        <v>7</v>
      </c>
      <c r="B66" s="963"/>
      <c r="C66" s="454" t="s">
        <v>70</v>
      </c>
      <c r="D66" s="455"/>
      <c r="E66" s="150"/>
      <c r="F66" s="151"/>
      <c r="G66" s="152"/>
      <c r="H66" s="870">
        <f>H65*39.8%</f>
        <v>3.5669025333333325E-5</v>
      </c>
      <c r="I66" s="871"/>
      <c r="J66" s="455"/>
      <c r="K66" s="145"/>
      <c r="L66" s="145"/>
      <c r="M66" s="145"/>
      <c r="N66" s="145"/>
      <c r="O66" s="145"/>
    </row>
    <row r="67" spans="1:15" ht="15.75" thickBot="1" x14ac:dyDescent="0.3">
      <c r="A67" s="872" t="s">
        <v>36</v>
      </c>
      <c r="B67" s="872"/>
      <c r="C67" s="872"/>
      <c r="D67" s="872"/>
      <c r="E67" s="864"/>
      <c r="F67" s="865"/>
      <c r="G67" s="866"/>
      <c r="H67" s="867">
        <f>SUM(H65:J66)</f>
        <v>1.2528969199999997E-4</v>
      </c>
      <c r="I67" s="867"/>
      <c r="J67" s="867"/>
      <c r="K67" s="145"/>
      <c r="L67" s="145"/>
      <c r="M67" s="145"/>
      <c r="N67" s="145"/>
      <c r="O67" s="145"/>
    </row>
    <row r="68" spans="1:15" ht="15.75" thickBot="1" x14ac:dyDescent="0.3">
      <c r="A68" s="882" t="s">
        <v>71</v>
      </c>
      <c r="B68" s="883"/>
      <c r="C68" s="883"/>
      <c r="D68" s="925"/>
      <c r="E68" s="938">
        <f>H67+H63+H57</f>
        <v>27.692094904091995</v>
      </c>
      <c r="F68" s="885"/>
      <c r="G68" s="885"/>
      <c r="H68" s="885"/>
      <c r="I68" s="885"/>
      <c r="J68" s="886"/>
      <c r="K68" s="145"/>
      <c r="L68" s="145"/>
      <c r="M68" s="145"/>
      <c r="N68" s="145"/>
      <c r="O68" s="145"/>
    </row>
    <row r="69" spans="1:15" ht="10.5" customHeight="1" thickBot="1" x14ac:dyDescent="0.3">
      <c r="A69" s="144"/>
      <c r="B69" s="144"/>
      <c r="C69" s="144"/>
      <c r="D69" s="144"/>
      <c r="E69" s="154"/>
      <c r="F69" s="154"/>
      <c r="G69" s="154"/>
      <c r="H69" s="144"/>
      <c r="I69" s="144"/>
      <c r="J69" s="144"/>
      <c r="K69" s="145"/>
      <c r="L69" s="145"/>
      <c r="M69" s="145"/>
      <c r="N69" s="145"/>
      <c r="O69" s="145"/>
    </row>
    <row r="70" spans="1:15" ht="27" customHeight="1" thickBot="1" x14ac:dyDescent="0.3">
      <c r="A70" s="494" t="s">
        <v>73</v>
      </c>
      <c r="B70" s="495"/>
      <c r="C70" s="495"/>
      <c r="D70" s="495"/>
      <c r="E70" s="495"/>
      <c r="F70" s="495"/>
      <c r="G70" s="495"/>
      <c r="H70" s="495"/>
      <c r="I70" s="495"/>
      <c r="J70" s="496"/>
      <c r="K70" s="136"/>
    </row>
    <row r="71" spans="1:15" x14ac:dyDescent="0.25">
      <c r="A71" s="962" t="s">
        <v>2</v>
      </c>
      <c r="B71" s="963"/>
      <c r="C71" s="454" t="s">
        <v>74</v>
      </c>
      <c r="D71" s="455"/>
      <c r="E71" s="892"/>
      <c r="F71" s="890"/>
      <c r="G71" s="891"/>
      <c r="H71" s="870">
        <v>350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7</v>
      </c>
      <c r="B72" s="963"/>
      <c r="C72" s="454" t="s">
        <v>75</v>
      </c>
      <c r="D72" s="455"/>
      <c r="E72" s="150"/>
      <c r="F72" s="151"/>
      <c r="G72" s="152"/>
      <c r="H72" s="870">
        <v>50</v>
      </c>
      <c r="I72" s="871"/>
      <c r="J72" s="455"/>
      <c r="K72" s="145"/>
      <c r="L72" s="145"/>
      <c r="M72" s="145"/>
      <c r="N72" s="145"/>
      <c r="O72" s="145"/>
    </row>
    <row r="73" spans="1:15" x14ac:dyDescent="0.25">
      <c r="A73" s="962" t="s">
        <v>8</v>
      </c>
      <c r="B73" s="963"/>
      <c r="C73" s="320" t="s">
        <v>76</v>
      </c>
      <c r="D73" s="321"/>
      <c r="E73" s="873"/>
      <c r="F73" s="874"/>
      <c r="G73" s="875"/>
      <c r="H73" s="868">
        <v>25</v>
      </c>
      <c r="I73" s="868"/>
      <c r="J73" s="868"/>
      <c r="K73" s="145"/>
      <c r="L73" s="145"/>
      <c r="M73" s="145"/>
      <c r="N73" s="145"/>
      <c r="O73" s="145"/>
    </row>
    <row r="74" spans="1:15" ht="15.75" thickBot="1" x14ac:dyDescent="0.3">
      <c r="A74" s="965" t="s">
        <v>9</v>
      </c>
      <c r="B74" s="965"/>
      <c r="C74" s="526" t="s">
        <v>28</v>
      </c>
      <c r="D74" s="528"/>
      <c r="E74" s="887"/>
      <c r="F74" s="887"/>
      <c r="G74" s="887"/>
      <c r="H74" s="888">
        <f>E31/30/12*15*8%</f>
        <v>0</v>
      </c>
      <c r="I74" s="888"/>
      <c r="J74" s="888"/>
      <c r="K74" s="145"/>
      <c r="L74" s="145"/>
      <c r="M74" s="145"/>
      <c r="N74" s="145"/>
      <c r="O74" s="145"/>
    </row>
    <row r="75" spans="1:15" ht="15" customHeight="1" thickBot="1" x14ac:dyDescent="0.3">
      <c r="A75" s="507" t="s">
        <v>320</v>
      </c>
      <c r="B75" s="508"/>
      <c r="C75" s="508"/>
      <c r="D75" s="508"/>
      <c r="E75" s="508"/>
      <c r="F75" s="508"/>
      <c r="G75" s="508"/>
      <c r="H75" s="894">
        <f>SUM(H71:J74)</f>
        <v>425</v>
      </c>
      <c r="I75" s="895"/>
      <c r="J75" s="896"/>
      <c r="K75" s="145"/>
      <c r="L75" s="145"/>
      <c r="M75" s="145"/>
      <c r="N75" s="145"/>
      <c r="O75" s="145"/>
    </row>
    <row r="76" spans="1:15" ht="9" customHeight="1" thickBot="1" x14ac:dyDescent="0.3">
      <c r="A76" s="147"/>
      <c r="B76" s="147"/>
      <c r="C76" s="143"/>
      <c r="D76" s="143"/>
      <c r="E76" s="153"/>
      <c r="F76" s="153"/>
      <c r="G76" s="153"/>
      <c r="H76" s="166"/>
      <c r="I76" s="166"/>
      <c r="J76" s="166"/>
      <c r="K76" s="145"/>
      <c r="L76" s="145"/>
      <c r="M76" s="145"/>
      <c r="N76" s="145"/>
      <c r="O76" s="145"/>
    </row>
    <row r="77" spans="1:15" ht="27" customHeight="1" thickBot="1" x14ac:dyDescent="0.3">
      <c r="A77" s="494" t="s">
        <v>84</v>
      </c>
      <c r="B77" s="495"/>
      <c r="C77" s="495"/>
      <c r="D77" s="495"/>
      <c r="E77" s="495"/>
      <c r="F77" s="495"/>
      <c r="G77" s="495"/>
      <c r="H77" s="495"/>
      <c r="I77" s="495"/>
      <c r="J77" s="496"/>
      <c r="K77" s="136"/>
    </row>
    <row r="78" spans="1:15" x14ac:dyDescent="0.25">
      <c r="A78" s="962" t="s">
        <v>2</v>
      </c>
      <c r="B78" s="963"/>
      <c r="C78" s="454" t="s">
        <v>77</v>
      </c>
      <c r="D78" s="455"/>
      <c r="E78" s="889">
        <v>7.0000000000000007E-2</v>
      </c>
      <c r="F78" s="890"/>
      <c r="G78" s="891"/>
      <c r="H78" s="870">
        <f>(H75+E68+H47+E38+E12)*E78</f>
        <v>235.74372394328648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7</v>
      </c>
      <c r="B79" s="963"/>
      <c r="C79" s="454" t="s">
        <v>12</v>
      </c>
      <c r="D79" s="455"/>
      <c r="E79" s="889">
        <v>7.577530628885254E-2</v>
      </c>
      <c r="F79" s="890"/>
      <c r="G79" s="891"/>
      <c r="H79" s="870">
        <f>E79*(H75+E68+H47+E38+E12)</f>
        <v>255.19361267824615</v>
      </c>
      <c r="I79" s="871"/>
      <c r="J79" s="455"/>
      <c r="K79" s="145"/>
      <c r="L79" s="145"/>
      <c r="M79" s="145"/>
      <c r="N79" s="145"/>
      <c r="O79" s="145"/>
    </row>
    <row r="80" spans="1:15" x14ac:dyDescent="0.25">
      <c r="A80" s="962" t="s">
        <v>8</v>
      </c>
      <c r="B80" s="963"/>
      <c r="C80" s="320" t="s">
        <v>78</v>
      </c>
      <c r="D80" s="321"/>
      <c r="E80" s="944">
        <v>0.85750000000000004</v>
      </c>
      <c r="F80" s="945"/>
      <c r="G80" s="946"/>
      <c r="H80" s="868">
        <f>(H75+E68+H47+E38+E12)/E80</f>
        <v>3927.425638372119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79</v>
      </c>
      <c r="D81" s="286"/>
      <c r="E81" s="877">
        <v>1.6500000000000001E-2</v>
      </c>
      <c r="F81" s="877"/>
      <c r="G81" s="877"/>
      <c r="H81" s="868">
        <f>E81*D89</f>
        <v>51.931274999999999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9</v>
      </c>
      <c r="B82" s="964"/>
      <c r="C82" s="284" t="s">
        <v>80</v>
      </c>
      <c r="D82" s="286"/>
      <c r="E82" s="877">
        <v>7.5999999999999998E-2</v>
      </c>
      <c r="F82" s="877"/>
      <c r="G82" s="877"/>
      <c r="H82" s="868">
        <f>E82*D89</f>
        <v>239.1986</v>
      </c>
      <c r="I82" s="868"/>
      <c r="J82" s="868"/>
      <c r="K82" s="145"/>
      <c r="L82" s="145"/>
      <c r="M82" s="145"/>
      <c r="N82" s="145"/>
      <c r="O82" s="145"/>
    </row>
    <row r="83" spans="1:15" x14ac:dyDescent="0.25">
      <c r="A83" s="964" t="s">
        <v>10</v>
      </c>
      <c r="B83" s="964"/>
      <c r="C83" s="284" t="s">
        <v>81</v>
      </c>
      <c r="D83" s="286"/>
      <c r="E83" s="877"/>
      <c r="F83" s="877"/>
      <c r="G83" s="877"/>
      <c r="H83" s="868"/>
      <c r="I83" s="868"/>
      <c r="J83" s="868"/>
      <c r="K83" s="145"/>
      <c r="L83" s="145"/>
      <c r="M83" s="145"/>
      <c r="N83" s="145"/>
      <c r="O83" s="145"/>
    </row>
    <row r="84" spans="1:15" ht="15.75" thickBot="1" x14ac:dyDescent="0.3">
      <c r="A84" s="965" t="s">
        <v>11</v>
      </c>
      <c r="B84" s="965"/>
      <c r="C84" s="526" t="s">
        <v>82</v>
      </c>
      <c r="D84" s="528"/>
      <c r="E84" s="887">
        <v>0.05</v>
      </c>
      <c r="F84" s="887"/>
      <c r="G84" s="887"/>
      <c r="H84" s="888">
        <f>E84*D89</f>
        <v>157.36750000000001</v>
      </c>
      <c r="I84" s="888"/>
      <c r="J84" s="888"/>
      <c r="K84" s="145"/>
      <c r="L84" s="145"/>
      <c r="M84" s="145"/>
      <c r="N84" s="145"/>
      <c r="O84" s="145"/>
    </row>
    <row r="85" spans="1:15" ht="15" customHeight="1" thickBot="1" x14ac:dyDescent="0.3">
      <c r="A85" s="507" t="s">
        <v>321</v>
      </c>
      <c r="B85" s="508"/>
      <c r="C85" s="508"/>
      <c r="D85" s="508"/>
      <c r="E85" s="508"/>
      <c r="F85" s="508"/>
      <c r="G85" s="508"/>
      <c r="H85" s="894">
        <f>H78+H79+H81+H82+H84</f>
        <v>939.43471162153264</v>
      </c>
      <c r="I85" s="895"/>
      <c r="J85" s="896"/>
    </row>
    <row r="86" spans="1:15" ht="10.5" customHeight="1" thickBot="1" x14ac:dyDescent="0.3">
      <c r="A86" s="147"/>
      <c r="B86" s="147"/>
      <c r="C86" s="143"/>
      <c r="D86" s="143"/>
      <c r="E86" s="153"/>
      <c r="F86" s="153"/>
      <c r="G86" s="153"/>
      <c r="H86" s="166"/>
      <c r="I86" s="166"/>
      <c r="J86" s="166"/>
    </row>
    <row r="87" spans="1:15" ht="15.75" thickBot="1" x14ac:dyDescent="0.3">
      <c r="A87" s="995" t="s">
        <v>85</v>
      </c>
      <c r="B87" s="996"/>
      <c r="C87" s="996"/>
      <c r="D87" s="996"/>
      <c r="E87" s="996"/>
      <c r="F87" s="996"/>
      <c r="G87" s="997"/>
      <c r="H87" s="941">
        <f>SUM(H85+H75+E68+H47+E38+E12)</f>
        <v>4307.2021965256245</v>
      </c>
      <c r="I87" s="942"/>
      <c r="J87" s="943"/>
    </row>
    <row r="88" spans="1:15" x14ac:dyDescent="0.25">
      <c r="A88" s="145"/>
      <c r="B88" s="145"/>
      <c r="C88" s="145"/>
      <c r="D88" s="145"/>
      <c r="E88" s="133"/>
      <c r="F88" s="133"/>
      <c r="G88" s="133"/>
      <c r="H88" s="145"/>
      <c r="I88" s="145"/>
      <c r="J88" s="145"/>
    </row>
    <row r="89" spans="1:15" x14ac:dyDescent="0.25">
      <c r="D89" s="167">
        <v>3147.35</v>
      </c>
    </row>
    <row r="93" spans="1:15" ht="15.75" thickBot="1" x14ac:dyDescent="0.3">
      <c r="F93" s="172"/>
    </row>
  </sheetData>
  <mergeCells count="234">
    <mergeCell ref="A1:J1"/>
    <mergeCell ref="A85:G85"/>
    <mergeCell ref="A75:G75"/>
    <mergeCell ref="A47:G47"/>
    <mergeCell ref="A2:C2"/>
    <mergeCell ref="D2:J2"/>
    <mergeCell ref="A3:J3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35:B35"/>
    <mergeCell ref="C35:D35"/>
    <mergeCell ref="E35:G35"/>
    <mergeCell ref="H35:J35"/>
    <mergeCell ref="A36:B36"/>
    <mergeCell ref="C36:D36"/>
    <mergeCell ref="E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41:B41"/>
    <mergeCell ref="C41:D41"/>
    <mergeCell ref="H41:J41"/>
    <mergeCell ref="A42:B42"/>
    <mergeCell ref="C42:D42"/>
    <mergeCell ref="H42:J42"/>
    <mergeCell ref="A37:G37"/>
    <mergeCell ref="H37:J37"/>
    <mergeCell ref="A38:D38"/>
    <mergeCell ref="E38:J38"/>
    <mergeCell ref="A39:J39"/>
    <mergeCell ref="A40:J40"/>
    <mergeCell ref="A45:B45"/>
    <mergeCell ref="C45:D45"/>
    <mergeCell ref="E45:G45"/>
    <mergeCell ref="H45:J45"/>
    <mergeCell ref="A46:B46"/>
    <mergeCell ref="C46:D46"/>
    <mergeCell ref="E46:G46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51:B51"/>
    <mergeCell ref="C51:D51"/>
    <mergeCell ref="H51:J51"/>
    <mergeCell ref="A52:B52"/>
    <mergeCell ref="C52:D52"/>
    <mergeCell ref="E52:G52"/>
    <mergeCell ref="H52:J52"/>
    <mergeCell ref="H47:J47"/>
    <mergeCell ref="A49:J49"/>
    <mergeCell ref="A50:B50"/>
    <mergeCell ref="C50:D50"/>
    <mergeCell ref="H50:J50"/>
    <mergeCell ref="A55:B55"/>
    <mergeCell ref="C55:D55"/>
    <mergeCell ref="E55:G55"/>
    <mergeCell ref="H55:J55"/>
    <mergeCell ref="A56:B56"/>
    <mergeCell ref="C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60:B60"/>
    <mergeCell ref="C60:D60"/>
    <mergeCell ref="H60:J60"/>
    <mergeCell ref="A61:B61"/>
    <mergeCell ref="C61:D61"/>
    <mergeCell ref="E61:G61"/>
    <mergeCell ref="H61:J61"/>
    <mergeCell ref="A57:D57"/>
    <mergeCell ref="E57:G57"/>
    <mergeCell ref="H57:J57"/>
    <mergeCell ref="A58:J58"/>
    <mergeCell ref="A59:B59"/>
    <mergeCell ref="C59:D59"/>
    <mergeCell ref="H59:J59"/>
    <mergeCell ref="A64:J64"/>
    <mergeCell ref="A65:B65"/>
    <mergeCell ref="C65:D65"/>
    <mergeCell ref="H65:J65"/>
    <mergeCell ref="A66:B66"/>
    <mergeCell ref="C66:D66"/>
    <mergeCell ref="H66:J66"/>
    <mergeCell ref="A62:B62"/>
    <mergeCell ref="C62:D62"/>
    <mergeCell ref="E62:G62"/>
    <mergeCell ref="H62:J62"/>
    <mergeCell ref="A63:D63"/>
    <mergeCell ref="E63:G63"/>
    <mergeCell ref="H63:J63"/>
    <mergeCell ref="A71:B71"/>
    <mergeCell ref="C71:D71"/>
    <mergeCell ref="E71:G71"/>
    <mergeCell ref="H71:J71"/>
    <mergeCell ref="A72:B72"/>
    <mergeCell ref="C72:D72"/>
    <mergeCell ref="H72:J72"/>
    <mergeCell ref="A67:D67"/>
    <mergeCell ref="E67:G67"/>
    <mergeCell ref="H67:J67"/>
    <mergeCell ref="A68:D68"/>
    <mergeCell ref="E68:J68"/>
    <mergeCell ref="A70:J70"/>
    <mergeCell ref="H75:J75"/>
    <mergeCell ref="A77:J77"/>
    <mergeCell ref="A78:B78"/>
    <mergeCell ref="C78:D78"/>
    <mergeCell ref="E78:G78"/>
    <mergeCell ref="H78:J78"/>
    <mergeCell ref="A73:B73"/>
    <mergeCell ref="C73:D73"/>
    <mergeCell ref="E73:G73"/>
    <mergeCell ref="H73:J73"/>
    <mergeCell ref="A74:B74"/>
    <mergeCell ref="C74:D74"/>
    <mergeCell ref="E74:G74"/>
    <mergeCell ref="H74:J7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H85:J85"/>
    <mergeCell ref="A87:G87"/>
    <mergeCell ref="H87:J87"/>
    <mergeCell ref="A83:B83"/>
    <mergeCell ref="C83:D83"/>
    <mergeCell ref="E83:G83"/>
    <mergeCell ref="H83:J83"/>
    <mergeCell ref="A84:B84"/>
    <mergeCell ref="C84:D84"/>
    <mergeCell ref="E84:G84"/>
    <mergeCell ref="H84:J84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9" max="16383" man="1"/>
  </rowBreaks>
  <legacy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O88"/>
  <sheetViews>
    <sheetView topLeftCell="A65" workbookViewId="0">
      <selection activeCell="K14" sqref="K14"/>
    </sheetView>
  </sheetViews>
  <sheetFormatPr defaultRowHeight="15" x14ac:dyDescent="0.25"/>
  <cols>
    <col min="1" max="1" width="6.7109375" style="146" customWidth="1"/>
    <col min="2" max="2" width="3.42578125" style="146" customWidth="1"/>
    <col min="3" max="3" width="14.5703125" style="134" customWidth="1"/>
    <col min="4" max="4" width="38.7109375" style="134" customWidth="1"/>
    <col min="5" max="5" width="3.140625" style="116" customWidth="1"/>
    <col min="6" max="6" width="2.5703125" style="116" customWidth="1"/>
    <col min="7" max="7" width="3.140625" style="116" customWidth="1"/>
    <col min="8" max="8" width="3.7109375" style="134" customWidth="1"/>
    <col min="9" max="9" width="0.85546875" style="134" customWidth="1"/>
    <col min="10" max="10" width="7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394</v>
      </c>
      <c r="E2" s="738"/>
      <c r="F2" s="738"/>
      <c r="G2" s="738"/>
      <c r="H2" s="738"/>
      <c r="I2" s="738"/>
      <c r="J2" s="739"/>
      <c r="K2" s="136"/>
    </row>
    <row r="3" spans="1:15" ht="10.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1126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>
        <v>0</v>
      </c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/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6.5" customHeight="1" thickBot="1" x14ac:dyDescent="0.3">
      <c r="A11" s="141" t="s">
        <v>11</v>
      </c>
      <c r="B11" s="609" t="s">
        <v>161</v>
      </c>
      <c r="C11" s="610"/>
      <c r="D11" s="611"/>
      <c r="E11" s="950">
        <f>1045*40%</f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25"/>
      <c r="E12" s="894">
        <f>SUM(E6:J11)</f>
        <v>1544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7" customHeight="1" x14ac:dyDescent="0.25">
      <c r="A13" s="551" t="s">
        <v>29</v>
      </c>
      <c r="B13" s="715"/>
      <c r="C13" s="715"/>
      <c r="D13" s="716"/>
      <c r="E13" s="926">
        <f>E12*E30</f>
        <v>568.19200000000012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1.2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.75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397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128.61519999999999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186.82399999999998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315.43919999999997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120.74080000000001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371.88784000000004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46.485980000000005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55.783175999999997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27.891587999999999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18.594391999999999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11.1566352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3.7188783999999999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148.75513599999999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684.27362560000006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(3.9*2*22)-6%*E6</f>
        <v>104.03999999999999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>
        <f>5*22</f>
        <v>110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150</v>
      </c>
      <c r="D34" s="286"/>
      <c r="E34" s="877"/>
      <c r="F34" s="877"/>
      <c r="G34" s="877"/>
      <c r="H34" s="868">
        <v>100</v>
      </c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339.98999999999995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25"/>
      <c r="E37" s="938">
        <f>H19+H30+H36</f>
        <v>1339.7028256000001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1.2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.75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6.4333333333333336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0.51466666666666672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30.022222222222222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11.948844444444443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77.2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8"/>
      <c r="H46" s="894">
        <f>SUM(H40:J45)</f>
        <v>126.11906666666667</v>
      </c>
      <c r="I46" s="895"/>
      <c r="J46" s="896"/>
      <c r="K46" s="145"/>
      <c r="L46" s="145"/>
      <c r="M46" s="145"/>
      <c r="N46" s="145"/>
      <c r="O46" s="145"/>
    </row>
    <row r="47" spans="1:15" ht="9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395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4.2888888888888888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0.32166666666666666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5.1466666666666665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8.5777777777777775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7.2990158616666658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25.638251695000001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1.1435893333333331</v>
      </c>
      <c r="I58" s="871"/>
      <c r="J58" s="455"/>
      <c r="K58" s="145"/>
      <c r="L58" s="145"/>
      <c r="M58" s="145"/>
      <c r="N58" s="145"/>
      <c r="O58" s="145"/>
    </row>
    <row r="59" spans="1:15" ht="4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0.45514855466666654</v>
      </c>
      <c r="I59" s="871"/>
      <c r="J59" s="455"/>
      <c r="K59" s="145"/>
      <c r="L59" s="145"/>
      <c r="M59" s="145"/>
      <c r="N59" s="145"/>
      <c r="O59" s="145"/>
    </row>
    <row r="60" spans="1:15" ht="43.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4.433567658336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6.0323055463359996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25"/>
      <c r="E67" s="938">
        <f>H66+H62+H56</f>
        <v>31.670682531028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1.2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8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9.7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.75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240.20448023583867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260.02240088321855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4001.7406120089736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9"/>
      <c r="H84" s="894">
        <f>H77+H78+H80+H81+H83</f>
        <v>1039.2530811190572</v>
      </c>
      <c r="I84" s="895"/>
      <c r="J84" s="896"/>
    </row>
    <row r="85" spans="1:15" ht="11.2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941">
        <f>SUM(H84+H74+E67+H46+E37+E12)</f>
        <v>4470.7456559167522</v>
      </c>
      <c r="I86" s="942"/>
      <c r="J86" s="943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O88"/>
  <sheetViews>
    <sheetView workbookViewId="0">
      <selection activeCell="O66" sqref="O66"/>
    </sheetView>
  </sheetViews>
  <sheetFormatPr defaultRowHeight="15" x14ac:dyDescent="0.25"/>
  <cols>
    <col min="1" max="1" width="6.7109375" style="146" customWidth="1"/>
    <col min="2" max="2" width="3.42578125" style="146" customWidth="1"/>
    <col min="3" max="3" width="10.5703125" style="134" customWidth="1"/>
    <col min="4" max="4" width="41.42578125" style="134" customWidth="1"/>
    <col min="5" max="5" width="3.140625" style="116" customWidth="1"/>
    <col min="6" max="6" width="2.5703125" style="116" customWidth="1"/>
    <col min="7" max="7" width="3.28515625" style="116" customWidth="1"/>
    <col min="8" max="8" width="3.7109375" style="134" customWidth="1"/>
    <col min="9" max="9" width="1.28515625" style="134" customWidth="1"/>
    <col min="10" max="10" width="8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396</v>
      </c>
      <c r="E2" s="738"/>
      <c r="F2" s="738"/>
      <c r="G2" s="738"/>
      <c r="H2" s="738"/>
      <c r="I2" s="738"/>
      <c r="J2" s="739"/>
      <c r="K2" s="136"/>
    </row>
    <row r="3" spans="1:15" ht="10.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1222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>
        <f>((E8+E9)/25)*5</f>
        <v>0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.75" customHeight="1" thickBot="1" x14ac:dyDescent="0.3">
      <c r="A11" s="141" t="s">
        <v>11</v>
      </c>
      <c r="B11" s="609" t="s">
        <v>161</v>
      </c>
      <c r="C11" s="610"/>
      <c r="D11" s="611"/>
      <c r="E11" s="950">
        <f>1045*40%</f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25"/>
      <c r="E12" s="894">
        <f>SUM(E6:J11)</f>
        <v>1640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31.5" customHeight="1" x14ac:dyDescent="0.25">
      <c r="A13" s="551" t="s">
        <v>29</v>
      </c>
      <c r="B13" s="715"/>
      <c r="C13" s="715"/>
      <c r="D13" s="716"/>
      <c r="E13" s="926">
        <f>E12*E30</f>
        <v>603.5200000000001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0.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136.61199999999999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198.44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335.05200000000002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128.24800000000002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395.01040000000006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49.376300000000008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59.251560000000005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29.625780000000002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19.750520000000002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11.850312000000001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3.9501040000000005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158.00416000000001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726.81913600000007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(3.9*2*22)-6%*E6</f>
        <v>98.28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>
        <f>5*22</f>
        <v>110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150</v>
      </c>
      <c r="D34" s="286"/>
      <c r="E34" s="877"/>
      <c r="F34" s="877"/>
      <c r="G34" s="877"/>
      <c r="H34" s="868">
        <v>100</v>
      </c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334.22999999999996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25"/>
      <c r="E37" s="938">
        <f>H19+H30+H36</f>
        <v>1396.1011360000002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0.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6.833333333333333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0.54666666666666663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31.888888888888886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12.691777777777775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82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8"/>
      <c r="H46" s="894">
        <f>SUM(H40:J45)</f>
        <v>133.96066666666667</v>
      </c>
      <c r="I46" s="895"/>
      <c r="J46" s="896"/>
      <c r="K46" s="145"/>
      <c r="L46" s="145"/>
      <c r="M46" s="145"/>
      <c r="N46" s="145"/>
      <c r="O46" s="145"/>
    </row>
    <row r="47" spans="1:15" ht="10.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358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4.5555555555555554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0.34166666666666667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5.4666666666666668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9.1111111111111125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7.7527358616666664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27.231971694999999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1.2146933333333332</v>
      </c>
      <c r="I58" s="871"/>
      <c r="J58" s="455"/>
      <c r="K58" s="145"/>
      <c r="L58" s="145"/>
      <c r="M58" s="145"/>
      <c r="N58" s="145"/>
      <c r="O58" s="145"/>
    </row>
    <row r="59" spans="1:15" ht="30.7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0.48344794666666657</v>
      </c>
      <c r="I59" s="871"/>
      <c r="J59" s="455"/>
      <c r="K59" s="145"/>
      <c r="L59" s="145"/>
      <c r="M59" s="145"/>
      <c r="N59" s="145"/>
      <c r="O59" s="145"/>
    </row>
    <row r="60" spans="1:15" ht="46.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4.7092298961600001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6.4073711761599998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25"/>
      <c r="E67" s="938">
        <f>H66+H62+H56</f>
        <v>33.639468160851997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0.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.75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8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8.2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251.55908895792635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272.31381450759386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4190.9052721020626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8"/>
      <c r="H84" s="894">
        <f>H77+H78+H80+H81+H83</f>
        <v>1062.8991034655203</v>
      </c>
      <c r="I84" s="895"/>
      <c r="J84" s="896"/>
    </row>
    <row r="85" spans="1:15" ht="10.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941">
        <f>SUM(H84+H74+E67+H46+E37+E12)</f>
        <v>4656.6003742930388</v>
      </c>
      <c r="I86" s="942"/>
      <c r="J86" s="943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46:G46"/>
    <mergeCell ref="A84:G84"/>
    <mergeCell ref="A74:G7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6337778862885"/>
  </sheetPr>
  <dimension ref="A1:O88"/>
  <sheetViews>
    <sheetView view="pageBreakPreview" topLeftCell="A33" zoomScale="60" zoomScaleNormal="100" workbookViewId="0">
      <selection activeCell="D68" sqref="D68"/>
    </sheetView>
  </sheetViews>
  <sheetFormatPr defaultRowHeight="15" x14ac:dyDescent="0.25"/>
  <cols>
    <col min="1" max="1" width="6.7109375" style="146" customWidth="1"/>
    <col min="2" max="2" width="3.140625" style="146" customWidth="1"/>
    <col min="3" max="3" width="11.7109375" style="134" customWidth="1"/>
    <col min="4" max="4" width="40.28515625" style="134" customWidth="1"/>
    <col min="5" max="5" width="3.140625" style="116" customWidth="1"/>
    <col min="6" max="6" width="2.5703125" style="116" customWidth="1"/>
    <col min="7" max="7" width="3.140625" style="116" customWidth="1"/>
    <col min="8" max="8" width="3.7109375" style="134" customWidth="1"/>
    <col min="9" max="9" width="1.28515625" style="134" customWidth="1"/>
    <col min="10" max="10" width="8.1406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398</v>
      </c>
      <c r="E2" s="738"/>
      <c r="F2" s="738"/>
      <c r="G2" s="738"/>
      <c r="H2" s="738"/>
      <c r="I2" s="738"/>
      <c r="J2" s="739"/>
      <c r="K2" s="136"/>
    </row>
    <row r="3" spans="1:15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1126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>
        <v>0</v>
      </c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/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4.25" customHeight="1" thickBot="1" x14ac:dyDescent="0.3">
      <c r="A11" s="141" t="s">
        <v>11</v>
      </c>
      <c r="B11" s="609" t="s">
        <v>158</v>
      </c>
      <c r="C11" s="610"/>
      <c r="D11" s="611"/>
      <c r="E11" s="950">
        <f>1045*20%</f>
        <v>209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25"/>
      <c r="E12" s="894">
        <f>SUM(E6:J11)</f>
        <v>1335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32.25" customHeight="1" x14ac:dyDescent="0.25">
      <c r="A13" s="551" t="s">
        <v>29</v>
      </c>
      <c r="B13" s="715"/>
      <c r="C13" s="715"/>
      <c r="D13" s="716"/>
      <c r="E13" s="926">
        <f>E12*E30</f>
        <v>491.28000000000009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0.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344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111.2055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161.535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272.7405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104.39700000000001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321.54809999999998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40.193512499999997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48.232214999999997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24.116107499999998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16.077404999999999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9.6464429999999997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3.215481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128.61923999999999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591.648504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(3.9*2*22)-6%*E6</f>
        <v>104.03999999999999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>
        <f>5*22</f>
        <v>110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150</v>
      </c>
      <c r="D34" s="286"/>
      <c r="E34" s="877"/>
      <c r="F34" s="877"/>
      <c r="G34" s="877"/>
      <c r="H34" s="868">
        <v>100</v>
      </c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339.98999999999995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25"/>
      <c r="E37" s="938">
        <f>H19+H30+H36</f>
        <v>1204.3790039999999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9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5.5625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0.44500000000000001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25.958333333333336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10.331416666666668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66.75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9"/>
      <c r="H46" s="894">
        <f>SUM(H40:J45)</f>
        <v>109.04725000000001</v>
      </c>
      <c r="I46" s="895"/>
      <c r="J46" s="896"/>
      <c r="K46" s="145"/>
      <c r="L46" s="145"/>
      <c r="M46" s="145"/>
      <c r="N46" s="145"/>
      <c r="O46" s="145"/>
    </row>
    <row r="47" spans="1:15" ht="9.7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371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3.7083333333333335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0.27812500000000001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4.45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7.4166666666666679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6.3112296116666666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22.168590445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0.98879000000000006</v>
      </c>
      <c r="I58" s="871"/>
      <c r="J58" s="455"/>
      <c r="K58" s="145"/>
      <c r="L58" s="145"/>
      <c r="M58" s="145"/>
      <c r="N58" s="145"/>
      <c r="O58" s="145"/>
    </row>
    <row r="59" spans="1:15" ht="43.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0.39353842</v>
      </c>
      <c r="I59" s="871"/>
      <c r="J59" s="455"/>
      <c r="K59" s="145"/>
      <c r="L59" s="145"/>
      <c r="M59" s="145"/>
      <c r="N59" s="145"/>
      <c r="O59" s="145"/>
    </row>
    <row r="60" spans="1:15" ht="44.2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3.8334279947400001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5.2157564147400004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47"/>
      <c r="E67" s="938">
        <f>H66+H62+H56</f>
        <v>27.384472149432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9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.75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9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9.7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214.60675083046027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232.31274679762262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3575.2894765591041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9"/>
      <c r="H84" s="894">
        <f>H77+H78+H80+H81+H83</f>
        <v>985.94569762808305</v>
      </c>
      <c r="I84" s="895"/>
      <c r="J84" s="896"/>
    </row>
    <row r="85" spans="1:15" ht="11.2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6.5" customHeight="1" thickBot="1" x14ac:dyDescent="0.3">
      <c r="A86" s="939" t="s">
        <v>85</v>
      </c>
      <c r="B86" s="940"/>
      <c r="C86" s="940"/>
      <c r="D86" s="940"/>
      <c r="E86" s="940"/>
      <c r="F86" s="940"/>
      <c r="G86" s="940"/>
      <c r="H86" s="941">
        <f>SUM(H84+H74+E67+H46+E37+E12)</f>
        <v>4051.756423777515</v>
      </c>
      <c r="I86" s="942"/>
      <c r="J86" s="943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46:G46"/>
    <mergeCell ref="A86:G86"/>
    <mergeCell ref="H86:J86"/>
    <mergeCell ref="A83:B83"/>
    <mergeCell ref="C83:D83"/>
    <mergeCell ref="E83:G83"/>
    <mergeCell ref="H83:J83"/>
    <mergeCell ref="H84:J84"/>
    <mergeCell ref="A84:G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2" manualBreakCount="2">
    <brk id="37" max="16383" man="1"/>
    <brk id="67" max="16383" man="1"/>
  </rowBreaks>
  <legacy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2" tint="-0.749961851863155"/>
  </sheetPr>
  <dimension ref="A1:O89"/>
  <sheetViews>
    <sheetView workbookViewId="0">
      <selection activeCell="M83" sqref="M83"/>
    </sheetView>
  </sheetViews>
  <sheetFormatPr defaultRowHeight="15" x14ac:dyDescent="0.25"/>
  <cols>
    <col min="1" max="1" width="6.7109375" style="146" customWidth="1"/>
    <col min="2" max="2" width="3" style="146" customWidth="1"/>
    <col min="3" max="3" width="11.85546875" style="134" customWidth="1"/>
    <col min="4" max="4" width="40.42578125" style="134" customWidth="1"/>
    <col min="5" max="5" width="3.140625" style="116" customWidth="1"/>
    <col min="6" max="6" width="2.5703125" style="116" customWidth="1"/>
    <col min="7" max="7" width="3.42578125" style="116" customWidth="1"/>
    <col min="8" max="8" width="3" style="134" customWidth="1"/>
    <col min="9" max="9" width="1.5703125" style="134" customWidth="1"/>
    <col min="10" max="10" width="7.8554687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399</v>
      </c>
      <c r="E2" s="738"/>
      <c r="F2" s="738"/>
      <c r="G2" s="738"/>
      <c r="H2" s="738"/>
      <c r="I2" s="738"/>
      <c r="J2" s="739"/>
      <c r="K2" s="136"/>
    </row>
    <row r="3" spans="1:15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1733.23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>
        <v>0</v>
      </c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/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.75" customHeight="1" thickBot="1" x14ac:dyDescent="0.3">
      <c r="A11" s="141" t="s">
        <v>11</v>
      </c>
      <c r="B11" s="609" t="s">
        <v>161</v>
      </c>
      <c r="C11" s="610"/>
      <c r="D11" s="611"/>
      <c r="E11" s="950">
        <f>1045*40%</f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998" t="s">
        <v>319</v>
      </c>
      <c r="B12" s="999"/>
      <c r="C12" s="999"/>
      <c r="D12" s="1000"/>
      <c r="E12" s="1001">
        <f>SUM(E6:J11)</f>
        <v>2151.23</v>
      </c>
      <c r="F12" s="1002"/>
      <c r="G12" s="1002"/>
      <c r="H12" s="1002"/>
      <c r="I12" s="1002"/>
      <c r="J12" s="1003"/>
      <c r="K12" s="145"/>
      <c r="L12" s="145"/>
      <c r="M12" s="145"/>
      <c r="N12" s="145"/>
      <c r="O12" s="145"/>
    </row>
    <row r="13" spans="1:15" ht="27" customHeight="1" x14ac:dyDescent="0.25">
      <c r="A13" s="551" t="s">
        <v>29</v>
      </c>
      <c r="B13" s="715"/>
      <c r="C13" s="715"/>
      <c r="D13" s="716"/>
      <c r="E13" s="926">
        <f>E12*E30</f>
        <v>791.65264000000013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9.7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.75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345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179.19745900000001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260.29883000000001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439.49628900000005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168.22618600000001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518.14525780000008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64.76815722500001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77.721788670000009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38.860894335000005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25.907262890000002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15.544357734000002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5.181452578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207.25810312000002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953.38727435199996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(3.9*2*25.5)-6%*E6</f>
        <v>94.906200000000013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>
        <f>13.16*25.5</f>
        <v>335.58</v>
      </c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150</v>
      </c>
      <c r="D34" s="286"/>
      <c r="E34" s="877"/>
      <c r="F34" s="877"/>
      <c r="G34" s="877"/>
      <c r="H34" s="868">
        <v>185.73</v>
      </c>
      <c r="I34" s="868"/>
      <c r="J34" s="868"/>
      <c r="K34" s="145"/>
      <c r="L34" s="145"/>
      <c r="M34" s="145"/>
      <c r="N34" s="145"/>
      <c r="O34" s="145"/>
    </row>
    <row r="35" spans="1:15" ht="15.75" thickBot="1" x14ac:dyDescent="0.3">
      <c r="A35" s="478" t="s">
        <v>9</v>
      </c>
      <c r="B35" s="479"/>
      <c r="C35" s="284" t="s">
        <v>239</v>
      </c>
      <c r="D35" s="286"/>
      <c r="E35" s="909"/>
      <c r="F35" s="910"/>
      <c r="G35" s="911"/>
      <c r="H35" s="1006">
        <v>150</v>
      </c>
      <c r="I35" s="1007"/>
      <c r="J35" s="1008"/>
      <c r="K35" s="145"/>
      <c r="L35" s="145"/>
      <c r="M35" s="145"/>
      <c r="N35" s="145"/>
      <c r="O35" s="145"/>
    </row>
    <row r="36" spans="1:15" ht="15.75" thickBot="1" x14ac:dyDescent="0.3">
      <c r="A36" s="478" t="s">
        <v>10</v>
      </c>
      <c r="B36" s="479"/>
      <c r="C36" s="478" t="s">
        <v>28</v>
      </c>
      <c r="D36" s="479"/>
      <c r="E36" s="877"/>
      <c r="F36" s="877"/>
      <c r="G36" s="877"/>
      <c r="H36" s="868">
        <v>25.95</v>
      </c>
      <c r="I36" s="868"/>
      <c r="J36" s="868"/>
      <c r="K36" s="145"/>
      <c r="L36" s="145"/>
      <c r="M36" s="145"/>
      <c r="N36" s="173"/>
      <c r="O36" s="145"/>
    </row>
    <row r="37" spans="1:15" ht="15.75" thickBot="1" x14ac:dyDescent="0.3">
      <c r="A37" s="905" t="s">
        <v>38</v>
      </c>
      <c r="B37" s="906"/>
      <c r="C37" s="906"/>
      <c r="D37" s="906"/>
      <c r="E37" s="906"/>
      <c r="F37" s="906"/>
      <c r="G37" s="907"/>
      <c r="H37" s="867">
        <f>SUM(H32:J36)</f>
        <v>792.1662</v>
      </c>
      <c r="I37" s="867"/>
      <c r="J37" s="867"/>
      <c r="K37" s="145"/>
      <c r="L37" s="145"/>
      <c r="M37" s="145"/>
      <c r="N37" s="145"/>
      <c r="O37" s="145"/>
    </row>
    <row r="38" spans="1:15" ht="15.75" thickBot="1" x14ac:dyDescent="0.3">
      <c r="A38" s="882" t="s">
        <v>72</v>
      </c>
      <c r="B38" s="883"/>
      <c r="C38" s="883"/>
      <c r="D38" s="947"/>
      <c r="E38" s="938">
        <f>H19+H30+H37</f>
        <v>2185.0497633519999</v>
      </c>
      <c r="F38" s="885"/>
      <c r="G38" s="885"/>
      <c r="H38" s="885"/>
      <c r="I38" s="885"/>
      <c r="J38" s="886"/>
      <c r="K38" s="145"/>
      <c r="L38" s="145"/>
      <c r="M38" s="145"/>
      <c r="N38" s="145"/>
      <c r="O38" s="145"/>
    </row>
    <row r="39" spans="1:15" ht="9.75" customHeight="1" thickBot="1" x14ac:dyDescent="0.3">
      <c r="A39" s="908"/>
      <c r="B39" s="908"/>
      <c r="C39" s="908"/>
      <c r="D39" s="908"/>
      <c r="E39" s="908"/>
      <c r="F39" s="908"/>
      <c r="G39" s="908"/>
      <c r="H39" s="908"/>
      <c r="I39" s="908"/>
      <c r="J39" s="908"/>
      <c r="K39" s="145"/>
      <c r="L39" s="145"/>
      <c r="M39" s="145"/>
      <c r="N39" s="145"/>
      <c r="O39" s="145"/>
    </row>
    <row r="40" spans="1:15" ht="27" customHeight="1" thickBot="1" x14ac:dyDescent="0.3">
      <c r="A40" s="494" t="s">
        <v>129</v>
      </c>
      <c r="B40" s="495"/>
      <c r="C40" s="495"/>
      <c r="D40" s="495"/>
      <c r="E40" s="495"/>
      <c r="F40" s="495"/>
      <c r="G40" s="495"/>
      <c r="H40" s="495"/>
      <c r="I40" s="495"/>
      <c r="J40" s="496"/>
      <c r="K40" s="136"/>
    </row>
    <row r="41" spans="1:15" x14ac:dyDescent="0.25">
      <c r="A41" s="962" t="s">
        <v>2</v>
      </c>
      <c r="B41" s="963"/>
      <c r="C41" s="454" t="s">
        <v>51</v>
      </c>
      <c r="D41" s="455"/>
      <c r="E41" s="150"/>
      <c r="F41" s="151"/>
      <c r="G41" s="152"/>
      <c r="H41" s="870">
        <f>E12/12*5%</f>
        <v>8.9634583333333335</v>
      </c>
      <c r="I41" s="871"/>
      <c r="J41" s="455"/>
      <c r="K41" s="145"/>
      <c r="L41" s="145"/>
      <c r="M41" s="145"/>
      <c r="N41" s="145"/>
      <c r="O41" s="145"/>
    </row>
    <row r="42" spans="1:15" x14ac:dyDescent="0.25">
      <c r="A42" s="962" t="s">
        <v>7</v>
      </c>
      <c r="B42" s="963"/>
      <c r="C42" s="454" t="s">
        <v>52</v>
      </c>
      <c r="D42" s="455"/>
      <c r="E42" s="150"/>
      <c r="F42" s="151"/>
      <c r="G42" s="152"/>
      <c r="H42" s="870">
        <f>H41*8%</f>
        <v>0.7170766666666667</v>
      </c>
      <c r="I42" s="871"/>
      <c r="J42" s="455"/>
      <c r="K42" s="145"/>
      <c r="L42" s="145"/>
      <c r="M42" s="145"/>
      <c r="N42" s="145"/>
      <c r="O42" s="145"/>
    </row>
    <row r="43" spans="1:15" ht="27.75" customHeight="1" x14ac:dyDescent="0.25">
      <c r="A43" s="962" t="s">
        <v>8</v>
      </c>
      <c r="B43" s="963"/>
      <c r="C43" s="320" t="s">
        <v>53</v>
      </c>
      <c r="D43" s="321"/>
      <c r="E43" s="873"/>
      <c r="F43" s="874"/>
      <c r="G43" s="875"/>
      <c r="H43" s="868">
        <f>E43*E12</f>
        <v>0</v>
      </c>
      <c r="I43" s="868"/>
      <c r="J43" s="868"/>
      <c r="K43" s="145"/>
      <c r="L43" s="145"/>
      <c r="M43" s="145"/>
      <c r="N43" s="145"/>
      <c r="O43" s="145"/>
    </row>
    <row r="44" spans="1:15" x14ac:dyDescent="0.25">
      <c r="A44" s="964" t="s">
        <v>9</v>
      </c>
      <c r="B44" s="964"/>
      <c r="C44" s="284" t="s">
        <v>54</v>
      </c>
      <c r="D44" s="286"/>
      <c r="E44" s="877"/>
      <c r="F44" s="877"/>
      <c r="G44" s="877"/>
      <c r="H44" s="868">
        <f>E12/30/12*7*100%</f>
        <v>41.829472222222222</v>
      </c>
      <c r="I44" s="868"/>
      <c r="J44" s="868"/>
      <c r="K44" s="145"/>
      <c r="L44" s="145"/>
      <c r="M44" s="145"/>
      <c r="N44" s="145"/>
      <c r="O44" s="145"/>
    </row>
    <row r="45" spans="1:15" ht="27.75" customHeight="1" x14ac:dyDescent="0.25">
      <c r="A45" s="964" t="s">
        <v>10</v>
      </c>
      <c r="B45" s="964"/>
      <c r="C45" s="478" t="s">
        <v>83</v>
      </c>
      <c r="D45" s="479"/>
      <c r="E45" s="877"/>
      <c r="F45" s="877"/>
      <c r="G45" s="877"/>
      <c r="H45" s="868">
        <f>H44*39.8%</f>
        <v>16.648129944444442</v>
      </c>
      <c r="I45" s="868"/>
      <c r="J45" s="868"/>
      <c r="K45" s="145"/>
      <c r="L45" s="145"/>
      <c r="M45" s="145"/>
      <c r="N45" s="145"/>
      <c r="O45" s="145"/>
    </row>
    <row r="46" spans="1:15" ht="28.5" customHeight="1" thickBot="1" x14ac:dyDescent="0.3">
      <c r="A46" s="475" t="s">
        <v>11</v>
      </c>
      <c r="B46" s="476"/>
      <c r="C46" s="834" t="s">
        <v>53</v>
      </c>
      <c r="D46" s="835"/>
      <c r="E46" s="897"/>
      <c r="F46" s="898"/>
      <c r="G46" s="899"/>
      <c r="H46" s="900">
        <f>E12*5%</f>
        <v>107.56150000000001</v>
      </c>
      <c r="I46" s="901"/>
      <c r="J46" s="902"/>
      <c r="K46" s="145"/>
      <c r="L46" s="145"/>
      <c r="M46" s="145"/>
      <c r="N46" s="145"/>
      <c r="O46" s="145"/>
    </row>
    <row r="47" spans="1:15" ht="15" customHeight="1" thickBot="1" x14ac:dyDescent="0.3">
      <c r="A47" s="507" t="s">
        <v>71</v>
      </c>
      <c r="B47" s="508"/>
      <c r="C47" s="508"/>
      <c r="D47" s="508"/>
      <c r="E47" s="508"/>
      <c r="F47" s="508"/>
      <c r="G47" s="509"/>
      <c r="H47" s="894">
        <f>SUM(H41:J46)</f>
        <v>175.71963716666667</v>
      </c>
      <c r="I47" s="895"/>
      <c r="J47" s="896"/>
      <c r="K47" s="145"/>
      <c r="L47" s="145"/>
      <c r="M47" s="145"/>
      <c r="N47" s="145"/>
      <c r="O47" s="145"/>
    </row>
    <row r="48" spans="1:15" ht="9.75" customHeight="1" thickBot="1" x14ac:dyDescent="0.3">
      <c r="A48" s="147"/>
      <c r="B48" s="147"/>
      <c r="C48" s="143"/>
      <c r="D48" s="143"/>
      <c r="E48" s="153"/>
      <c r="F48" s="153"/>
      <c r="G48" s="153"/>
      <c r="H48" s="166"/>
      <c r="I48" s="166"/>
      <c r="J48" s="166"/>
      <c r="K48" s="145"/>
      <c r="L48" s="145"/>
      <c r="M48" s="145"/>
      <c r="N48" s="145"/>
      <c r="O48" s="145"/>
    </row>
    <row r="49" spans="1:15" ht="33" customHeight="1" thickBot="1" x14ac:dyDescent="0.3">
      <c r="A49" s="494" t="s">
        <v>388</v>
      </c>
      <c r="B49" s="495"/>
      <c r="C49" s="495"/>
      <c r="D49" s="495"/>
      <c r="E49" s="495"/>
      <c r="F49" s="495"/>
      <c r="G49" s="495"/>
      <c r="H49" s="495"/>
      <c r="I49" s="495"/>
      <c r="J49" s="496"/>
      <c r="K49" s="136"/>
    </row>
    <row r="50" spans="1:15" x14ac:dyDescent="0.25">
      <c r="A50" s="962" t="s">
        <v>2</v>
      </c>
      <c r="B50" s="963"/>
      <c r="C50" s="454" t="s">
        <v>56</v>
      </c>
      <c r="D50" s="455"/>
      <c r="E50" s="150"/>
      <c r="F50" s="151"/>
      <c r="G50" s="152"/>
      <c r="H50" s="870">
        <f>E20/12*5%</f>
        <v>3.2583333333333336E-4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7</v>
      </c>
      <c r="B51" s="963"/>
      <c r="C51" s="454" t="s">
        <v>57</v>
      </c>
      <c r="D51" s="455"/>
      <c r="E51" s="150"/>
      <c r="F51" s="151"/>
      <c r="G51" s="152"/>
      <c r="H51" s="870">
        <f>E12/30/12</f>
        <v>5.9756388888888887</v>
      </c>
      <c r="I51" s="871"/>
      <c r="J51" s="455"/>
      <c r="K51" s="145"/>
      <c r="L51" s="145"/>
      <c r="M51" s="145"/>
      <c r="N51" s="145"/>
      <c r="O51" s="145"/>
    </row>
    <row r="52" spans="1:15" x14ac:dyDescent="0.25">
      <c r="A52" s="962" t="s">
        <v>8</v>
      </c>
      <c r="B52" s="963"/>
      <c r="C52" s="320" t="s">
        <v>58</v>
      </c>
      <c r="D52" s="321"/>
      <c r="E52" s="873"/>
      <c r="F52" s="874"/>
      <c r="G52" s="875"/>
      <c r="H52" s="868">
        <f>E12/30/12*5*1.5%</f>
        <v>0.44817291666666664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9</v>
      </c>
      <c r="B53" s="964"/>
      <c r="C53" s="284" t="s">
        <v>59</v>
      </c>
      <c r="D53" s="286"/>
      <c r="E53" s="877"/>
      <c r="F53" s="877"/>
      <c r="G53" s="877"/>
      <c r="H53" s="868">
        <f>E12/30/12*15*8%</f>
        <v>7.1707666666666663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10</v>
      </c>
      <c r="B54" s="964"/>
      <c r="C54" s="478" t="s">
        <v>60</v>
      </c>
      <c r="D54" s="479"/>
      <c r="E54" s="877"/>
      <c r="F54" s="877"/>
      <c r="G54" s="877"/>
      <c r="H54" s="868">
        <f>E20*5%</f>
        <v>3.9100000000000003E-3</v>
      </c>
      <c r="I54" s="868"/>
      <c r="J54" s="868"/>
      <c r="K54" s="145"/>
      <c r="L54" s="145"/>
      <c r="M54" s="145"/>
      <c r="N54" s="145"/>
      <c r="O54" s="145"/>
    </row>
    <row r="55" spans="1:15" x14ac:dyDescent="0.25">
      <c r="A55" s="964" t="s">
        <v>11</v>
      </c>
      <c r="B55" s="964"/>
      <c r="C55" s="478" t="s">
        <v>61</v>
      </c>
      <c r="D55" s="479"/>
      <c r="E55" s="877"/>
      <c r="F55" s="877"/>
      <c r="G55" s="877"/>
      <c r="H55" s="868">
        <f>E12/30/12*5*40%</f>
        <v>11.951277777777777</v>
      </c>
      <c r="I55" s="868"/>
      <c r="J55" s="868"/>
      <c r="K55" s="145"/>
      <c r="L55" s="145"/>
      <c r="M55" s="145"/>
      <c r="N55" s="145"/>
      <c r="O55" s="145"/>
    </row>
    <row r="56" spans="1:15" ht="27.75" customHeight="1" x14ac:dyDescent="0.25">
      <c r="A56" s="964" t="s">
        <v>39</v>
      </c>
      <c r="B56" s="964"/>
      <c r="C56" s="478" t="s">
        <v>62</v>
      </c>
      <c r="D56" s="479"/>
      <c r="E56" s="877"/>
      <c r="F56" s="877"/>
      <c r="G56" s="877"/>
      <c r="H56" s="868">
        <f>SUM(H50:J55)*39.8%</f>
        <v>10.168936649166666</v>
      </c>
      <c r="I56" s="868"/>
      <c r="J56" s="868"/>
      <c r="K56" s="145"/>
      <c r="L56" s="145"/>
      <c r="M56" s="145"/>
      <c r="N56" s="145"/>
      <c r="O56" s="145"/>
    </row>
    <row r="57" spans="1:15" ht="15.75" thickBot="1" x14ac:dyDescent="0.3">
      <c r="A57" s="878" t="s">
        <v>36</v>
      </c>
      <c r="B57" s="878"/>
      <c r="C57" s="878"/>
      <c r="D57" s="878"/>
      <c r="E57" s="879"/>
      <c r="F57" s="880"/>
      <c r="G57" s="881"/>
      <c r="H57" s="869">
        <f>SUM(H50:J56)</f>
        <v>35.7190287325</v>
      </c>
      <c r="I57" s="869"/>
      <c r="J57" s="869"/>
      <c r="K57" s="145"/>
      <c r="L57" s="145"/>
      <c r="M57" s="145"/>
      <c r="N57" s="145"/>
      <c r="O57" s="145"/>
    </row>
    <row r="58" spans="1:15" ht="15.75" thickBot="1" x14ac:dyDescent="0.3">
      <c r="A58" s="507" t="s">
        <v>127</v>
      </c>
      <c r="B58" s="508"/>
      <c r="C58" s="508"/>
      <c r="D58" s="508"/>
      <c r="E58" s="508"/>
      <c r="F58" s="508"/>
      <c r="G58" s="508"/>
      <c r="H58" s="508"/>
      <c r="I58" s="508"/>
      <c r="J58" s="509"/>
      <c r="K58" s="136"/>
    </row>
    <row r="59" spans="1:15" ht="32.25" customHeight="1" x14ac:dyDescent="0.25">
      <c r="A59" s="962" t="s">
        <v>2</v>
      </c>
      <c r="B59" s="963"/>
      <c r="C59" s="454" t="s">
        <v>64</v>
      </c>
      <c r="D59" s="455"/>
      <c r="E59" s="150"/>
      <c r="F59" s="151"/>
      <c r="G59" s="152"/>
      <c r="H59" s="870">
        <f>((((E12+(E12/3))*0.3333)/12)*2%)</f>
        <v>1.5933443533333336</v>
      </c>
      <c r="I59" s="871"/>
      <c r="J59" s="455"/>
      <c r="K59" s="145"/>
      <c r="L59" s="145"/>
      <c r="M59" s="145"/>
      <c r="N59" s="145"/>
      <c r="O59" s="145"/>
    </row>
    <row r="60" spans="1:15" ht="43.5" customHeight="1" x14ac:dyDescent="0.25">
      <c r="A60" s="962" t="s">
        <v>7</v>
      </c>
      <c r="B60" s="963"/>
      <c r="C60" s="454" t="s">
        <v>65</v>
      </c>
      <c r="D60" s="455"/>
      <c r="E60" s="150"/>
      <c r="F60" s="151"/>
      <c r="G60" s="152"/>
      <c r="H60" s="870">
        <f>H59*39.8%</f>
        <v>0.63415105262666671</v>
      </c>
      <c r="I60" s="871"/>
      <c r="J60" s="455"/>
      <c r="K60" s="145"/>
      <c r="L60" s="145"/>
      <c r="M60" s="145"/>
      <c r="N60" s="145"/>
      <c r="O60" s="145"/>
    </row>
    <row r="61" spans="1:15" ht="45.75" customHeight="1" x14ac:dyDescent="0.25">
      <c r="A61" s="962" t="s">
        <v>8</v>
      </c>
      <c r="B61" s="963"/>
      <c r="C61" s="454" t="s">
        <v>66</v>
      </c>
      <c r="D61" s="455"/>
      <c r="E61" s="873"/>
      <c r="F61" s="874"/>
      <c r="G61" s="875"/>
      <c r="H61" s="868">
        <f>(((E12+H17)*0.333)*2%)*39.8%</f>
        <v>6.1772174570221194</v>
      </c>
      <c r="I61" s="868"/>
      <c r="J61" s="868"/>
      <c r="K61" s="145"/>
      <c r="L61" s="145"/>
      <c r="M61" s="145"/>
      <c r="N61" s="145"/>
      <c r="O61" s="145"/>
    </row>
    <row r="62" spans="1:15" x14ac:dyDescent="0.25">
      <c r="A62" s="964" t="s">
        <v>9</v>
      </c>
      <c r="B62" s="964"/>
      <c r="C62" s="284" t="s">
        <v>67</v>
      </c>
      <c r="D62" s="286"/>
      <c r="E62" s="877"/>
      <c r="F62" s="877"/>
      <c r="G62" s="877"/>
      <c r="H62" s="868"/>
      <c r="I62" s="868"/>
      <c r="J62" s="868"/>
      <c r="K62" s="145"/>
      <c r="L62" s="145"/>
      <c r="M62" s="145"/>
      <c r="N62" s="145"/>
      <c r="O62" s="145"/>
    </row>
    <row r="63" spans="1:15" ht="15.75" thickBot="1" x14ac:dyDescent="0.3">
      <c r="A63" s="878" t="s">
        <v>36</v>
      </c>
      <c r="B63" s="878"/>
      <c r="C63" s="878"/>
      <c r="D63" s="878"/>
      <c r="E63" s="879"/>
      <c r="F63" s="880"/>
      <c r="G63" s="881"/>
      <c r="H63" s="869">
        <f>SUM(H59:J62)</f>
        <v>8.4047128629821195</v>
      </c>
      <c r="I63" s="869"/>
      <c r="J63" s="869"/>
      <c r="K63" s="145"/>
      <c r="L63" s="145"/>
      <c r="M63" s="145"/>
      <c r="N63" s="145"/>
      <c r="O63" s="145"/>
    </row>
    <row r="64" spans="1:15" ht="15.75" thickBot="1" x14ac:dyDescent="0.3">
      <c r="A64" s="507" t="s">
        <v>126</v>
      </c>
      <c r="B64" s="508"/>
      <c r="C64" s="508"/>
      <c r="D64" s="508"/>
      <c r="E64" s="508"/>
      <c r="F64" s="508"/>
      <c r="G64" s="508"/>
      <c r="H64" s="508"/>
      <c r="I64" s="508"/>
      <c r="J64" s="509"/>
      <c r="K64" s="136"/>
    </row>
    <row r="65" spans="1:15" ht="29.25" customHeight="1" x14ac:dyDescent="0.25">
      <c r="A65" s="962" t="s">
        <v>2</v>
      </c>
      <c r="B65" s="963"/>
      <c r="C65" s="454" t="s">
        <v>69</v>
      </c>
      <c r="D65" s="455"/>
      <c r="E65" s="150"/>
      <c r="F65" s="151"/>
      <c r="G65" s="152"/>
      <c r="H65" s="870">
        <f>((((E18+(E18/3))*0.3333)/12)*2%)</f>
        <v>8.9620666666666654E-5</v>
      </c>
      <c r="I65" s="871"/>
      <c r="J65" s="455"/>
      <c r="K65" s="145"/>
      <c r="L65" s="145"/>
      <c r="M65" s="145"/>
      <c r="N65" s="145"/>
      <c r="O65" s="145"/>
    </row>
    <row r="66" spans="1:15" ht="29.25" customHeight="1" x14ac:dyDescent="0.25">
      <c r="A66" s="962" t="s">
        <v>7</v>
      </c>
      <c r="B66" s="963"/>
      <c r="C66" s="454" t="s">
        <v>70</v>
      </c>
      <c r="D66" s="455"/>
      <c r="E66" s="150"/>
      <c r="F66" s="151"/>
      <c r="G66" s="152"/>
      <c r="H66" s="870">
        <f>H65*39.8%</f>
        <v>3.5669025333333325E-5</v>
      </c>
      <c r="I66" s="871"/>
      <c r="J66" s="455"/>
      <c r="K66" s="145"/>
      <c r="L66" s="145"/>
      <c r="M66" s="145"/>
      <c r="N66" s="145"/>
      <c r="O66" s="145"/>
    </row>
    <row r="67" spans="1:15" ht="15.75" thickBot="1" x14ac:dyDescent="0.3">
      <c r="A67" s="872" t="s">
        <v>36</v>
      </c>
      <c r="B67" s="872"/>
      <c r="C67" s="872"/>
      <c r="D67" s="872"/>
      <c r="E67" s="864"/>
      <c r="F67" s="865"/>
      <c r="G67" s="866"/>
      <c r="H67" s="867">
        <f>SUM(H65:J66)</f>
        <v>1.2528969199999997E-4</v>
      </c>
      <c r="I67" s="867"/>
      <c r="J67" s="867"/>
      <c r="K67" s="145"/>
      <c r="L67" s="145"/>
      <c r="M67" s="145"/>
      <c r="N67" s="145"/>
      <c r="O67" s="145"/>
    </row>
    <row r="68" spans="1:15" ht="15.75" thickBot="1" x14ac:dyDescent="0.3">
      <c r="A68" s="882" t="s">
        <v>71</v>
      </c>
      <c r="B68" s="883"/>
      <c r="C68" s="883"/>
      <c r="D68" s="925"/>
      <c r="E68" s="938">
        <f>H67+H63+H57</f>
        <v>44.123866885174124</v>
      </c>
      <c r="F68" s="885"/>
      <c r="G68" s="885"/>
      <c r="H68" s="885"/>
      <c r="I68" s="885"/>
      <c r="J68" s="886"/>
      <c r="K68" s="145"/>
      <c r="L68" s="145"/>
      <c r="M68" s="145"/>
      <c r="N68" s="145"/>
      <c r="O68" s="145"/>
    </row>
    <row r="69" spans="1:15" ht="9.75" customHeight="1" thickBot="1" x14ac:dyDescent="0.3">
      <c r="A69" s="144"/>
      <c r="B69" s="144"/>
      <c r="C69" s="144"/>
      <c r="D69" s="144"/>
      <c r="E69" s="154"/>
      <c r="F69" s="154"/>
      <c r="G69" s="154"/>
      <c r="H69" s="144"/>
      <c r="I69" s="144"/>
      <c r="J69" s="144"/>
      <c r="K69" s="145"/>
      <c r="L69" s="145"/>
      <c r="M69" s="145"/>
      <c r="N69" s="145"/>
      <c r="O69" s="145"/>
    </row>
    <row r="70" spans="1:15" ht="27" customHeight="1" thickBot="1" x14ac:dyDescent="0.3">
      <c r="A70" s="494" t="s">
        <v>73</v>
      </c>
      <c r="B70" s="495"/>
      <c r="C70" s="495"/>
      <c r="D70" s="495"/>
      <c r="E70" s="495"/>
      <c r="F70" s="495"/>
      <c r="G70" s="495"/>
      <c r="H70" s="495"/>
      <c r="I70" s="495"/>
      <c r="J70" s="496"/>
      <c r="K70" s="136"/>
    </row>
    <row r="71" spans="1:15" x14ac:dyDescent="0.25">
      <c r="A71" s="962" t="s">
        <v>2</v>
      </c>
      <c r="B71" s="963"/>
      <c r="C71" s="454" t="s">
        <v>74</v>
      </c>
      <c r="D71" s="455"/>
      <c r="E71" s="892"/>
      <c r="F71" s="890"/>
      <c r="G71" s="891"/>
      <c r="H71" s="870">
        <v>250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7</v>
      </c>
      <c r="B72" s="963"/>
      <c r="C72" s="454" t="s">
        <v>75</v>
      </c>
      <c r="D72" s="455"/>
      <c r="E72" s="150"/>
      <c r="F72" s="151"/>
      <c r="G72" s="152"/>
      <c r="H72" s="870">
        <f>1980/12</f>
        <v>165</v>
      </c>
      <c r="I72" s="871"/>
      <c r="J72" s="455"/>
      <c r="K72" s="145"/>
      <c r="L72" s="145"/>
      <c r="M72" s="145"/>
      <c r="N72" s="145"/>
      <c r="O72" s="145"/>
    </row>
    <row r="73" spans="1:15" x14ac:dyDescent="0.25">
      <c r="A73" s="962" t="s">
        <v>8</v>
      </c>
      <c r="B73" s="963"/>
      <c r="C73" s="320" t="s">
        <v>76</v>
      </c>
      <c r="D73" s="321"/>
      <c r="E73" s="873"/>
      <c r="F73" s="874"/>
      <c r="G73" s="875"/>
      <c r="H73" s="868">
        <v>75</v>
      </c>
      <c r="I73" s="868"/>
      <c r="J73" s="868"/>
      <c r="K73" s="145"/>
      <c r="L73" s="145"/>
      <c r="M73" s="145"/>
      <c r="N73" s="145"/>
      <c r="O73" s="145"/>
    </row>
    <row r="74" spans="1:15" ht="15.75" thickBot="1" x14ac:dyDescent="0.3">
      <c r="A74" s="965" t="s">
        <v>9</v>
      </c>
      <c r="B74" s="965"/>
      <c r="C74" s="526" t="s">
        <v>28</v>
      </c>
      <c r="D74" s="528"/>
      <c r="E74" s="887"/>
      <c r="F74" s="887"/>
      <c r="G74" s="887"/>
      <c r="H74" s="888">
        <v>45.95</v>
      </c>
      <c r="I74" s="888"/>
      <c r="J74" s="888"/>
      <c r="K74" s="145"/>
      <c r="L74" s="145"/>
      <c r="M74" s="145"/>
      <c r="N74" s="145"/>
      <c r="O74" s="145"/>
    </row>
    <row r="75" spans="1:15" ht="15" customHeight="1" thickBot="1" x14ac:dyDescent="0.3">
      <c r="A75" s="507" t="s">
        <v>320</v>
      </c>
      <c r="B75" s="508"/>
      <c r="C75" s="508"/>
      <c r="D75" s="508"/>
      <c r="E75" s="508"/>
      <c r="F75" s="508"/>
      <c r="G75" s="509"/>
      <c r="H75" s="894">
        <f>SUM(H71:J74)</f>
        <v>535.95000000000005</v>
      </c>
      <c r="I75" s="895"/>
      <c r="J75" s="896"/>
      <c r="K75" s="145"/>
      <c r="L75" s="145"/>
      <c r="M75" s="145"/>
      <c r="N75" s="145"/>
      <c r="O75" s="145"/>
    </row>
    <row r="76" spans="1:15" ht="9" customHeight="1" thickBot="1" x14ac:dyDescent="0.3">
      <c r="A76" s="147"/>
      <c r="B76" s="147"/>
      <c r="C76" s="143"/>
      <c r="D76" s="143"/>
      <c r="E76" s="153"/>
      <c r="F76" s="153"/>
      <c r="G76" s="153"/>
      <c r="H76" s="166"/>
      <c r="I76" s="166"/>
      <c r="J76" s="166"/>
      <c r="K76" s="145"/>
      <c r="L76" s="145"/>
      <c r="M76" s="145"/>
      <c r="N76" s="145"/>
      <c r="O76" s="145"/>
    </row>
    <row r="77" spans="1:15" ht="27" customHeight="1" thickBot="1" x14ac:dyDescent="0.3">
      <c r="A77" s="494" t="s">
        <v>84</v>
      </c>
      <c r="B77" s="495"/>
      <c r="C77" s="495"/>
      <c r="D77" s="495"/>
      <c r="E77" s="495"/>
      <c r="F77" s="495"/>
      <c r="G77" s="495"/>
      <c r="H77" s="495"/>
      <c r="I77" s="495"/>
      <c r="J77" s="496"/>
      <c r="K77" s="136"/>
    </row>
    <row r="78" spans="1:15" x14ac:dyDescent="0.25">
      <c r="A78" s="962" t="s">
        <v>2</v>
      </c>
      <c r="B78" s="963"/>
      <c r="C78" s="454" t="s">
        <v>77</v>
      </c>
      <c r="D78" s="455"/>
      <c r="E78" s="889">
        <v>7.0000000000000007E-2</v>
      </c>
      <c r="F78" s="890"/>
      <c r="G78" s="891"/>
      <c r="H78" s="870">
        <f>(H75+E68+H47+E38+E12)*E78</f>
        <v>356.4451287182689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7</v>
      </c>
      <c r="B79" s="963"/>
      <c r="C79" s="454" t="s">
        <v>12</v>
      </c>
      <c r="D79" s="455"/>
      <c r="E79" s="889">
        <v>7.577530628885254E-2</v>
      </c>
      <c r="F79" s="890"/>
      <c r="G79" s="891"/>
      <c r="H79" s="870">
        <f>E79*(H75+E68+H47+E38+E12)</f>
        <v>385.85341148280418</v>
      </c>
      <c r="I79" s="871"/>
      <c r="J79" s="455"/>
      <c r="K79" s="145"/>
      <c r="L79" s="145"/>
      <c r="M79" s="145"/>
      <c r="N79" s="145"/>
      <c r="O79" s="145"/>
    </row>
    <row r="80" spans="1:15" x14ac:dyDescent="0.25">
      <c r="A80" s="962" t="s">
        <v>8</v>
      </c>
      <c r="B80" s="963"/>
      <c r="C80" s="320" t="s">
        <v>78</v>
      </c>
      <c r="D80" s="321"/>
      <c r="E80" s="944">
        <v>0.85750000000000004</v>
      </c>
      <c r="F80" s="945"/>
      <c r="G80" s="946"/>
      <c r="H80" s="868">
        <f>(H75+E68+H47+E38+E12)/E80</f>
        <v>5938.2778628616215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79</v>
      </c>
      <c r="D81" s="286"/>
      <c r="E81" s="877">
        <v>1.6500000000000001E-2</v>
      </c>
      <c r="F81" s="877"/>
      <c r="G81" s="877"/>
      <c r="H81" s="868">
        <f>E81*D89</f>
        <v>62.413560000000004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9</v>
      </c>
      <c r="B82" s="964"/>
      <c r="C82" s="284" t="s">
        <v>80</v>
      </c>
      <c r="D82" s="286"/>
      <c r="E82" s="877">
        <v>7.5999999999999998E-2</v>
      </c>
      <c r="F82" s="877"/>
      <c r="G82" s="877"/>
      <c r="H82" s="868">
        <f>E82*D89</f>
        <v>287.48063999999999</v>
      </c>
      <c r="I82" s="868"/>
      <c r="J82" s="868"/>
      <c r="K82" s="145"/>
      <c r="L82" s="145"/>
      <c r="M82" s="145"/>
      <c r="N82" s="145"/>
      <c r="O82" s="145"/>
    </row>
    <row r="83" spans="1:15" x14ac:dyDescent="0.25">
      <c r="A83" s="964" t="s">
        <v>10</v>
      </c>
      <c r="B83" s="964"/>
      <c r="C83" s="284" t="s">
        <v>81</v>
      </c>
      <c r="D83" s="286"/>
      <c r="E83" s="877"/>
      <c r="F83" s="877"/>
      <c r="G83" s="877"/>
      <c r="H83" s="868"/>
      <c r="I83" s="868"/>
      <c r="J83" s="868"/>
      <c r="K83" s="145"/>
      <c r="L83" s="145"/>
      <c r="M83" s="145"/>
      <c r="N83" s="145"/>
      <c r="O83" s="145"/>
    </row>
    <row r="84" spans="1:15" ht="15.75" thickBot="1" x14ac:dyDescent="0.3">
      <c r="A84" s="965" t="s">
        <v>11</v>
      </c>
      <c r="B84" s="965"/>
      <c r="C84" s="526" t="s">
        <v>82</v>
      </c>
      <c r="D84" s="528"/>
      <c r="E84" s="887">
        <v>0.05</v>
      </c>
      <c r="F84" s="887"/>
      <c r="G84" s="887"/>
      <c r="H84" s="888">
        <f>E84*D89</f>
        <v>189.13200000000001</v>
      </c>
      <c r="I84" s="888"/>
      <c r="J84" s="888"/>
      <c r="K84" s="145"/>
      <c r="L84" s="145"/>
      <c r="M84" s="145"/>
      <c r="N84" s="145"/>
      <c r="O84" s="145"/>
    </row>
    <row r="85" spans="1:15" ht="15" customHeight="1" thickBot="1" x14ac:dyDescent="0.3">
      <c r="A85" s="507" t="s">
        <v>321</v>
      </c>
      <c r="B85" s="508"/>
      <c r="C85" s="508"/>
      <c r="D85" s="508"/>
      <c r="E85" s="508"/>
      <c r="F85" s="508"/>
      <c r="G85" s="509"/>
      <c r="H85" s="894">
        <f>H78+H79+H81+H82+H84</f>
        <v>1281.3247402010732</v>
      </c>
      <c r="I85" s="895"/>
      <c r="J85" s="896"/>
    </row>
    <row r="86" spans="1:15" ht="9.75" customHeight="1" thickBot="1" x14ac:dyDescent="0.3">
      <c r="A86" s="147"/>
      <c r="B86" s="147"/>
      <c r="C86" s="143"/>
      <c r="D86" s="143"/>
      <c r="E86" s="153"/>
      <c r="F86" s="153"/>
      <c r="G86" s="153"/>
      <c r="H86" s="166"/>
      <c r="I86" s="166"/>
      <c r="J86" s="166"/>
    </row>
    <row r="87" spans="1:15" ht="15.75" thickBot="1" x14ac:dyDescent="0.3">
      <c r="A87" s="939" t="s">
        <v>85</v>
      </c>
      <c r="B87" s="940"/>
      <c r="C87" s="940"/>
      <c r="D87" s="940"/>
      <c r="E87" s="940"/>
      <c r="F87" s="940"/>
      <c r="G87" s="940"/>
      <c r="H87" s="1004">
        <f>SUM(H85+H75+E68+H47+E38+E12)</f>
        <v>6373.3980076049138</v>
      </c>
      <c r="I87" s="1004"/>
      <c r="J87" s="1005"/>
    </row>
    <row r="88" spans="1:15" x14ac:dyDescent="0.25">
      <c r="A88" s="145"/>
      <c r="B88" s="145"/>
      <c r="C88" s="145"/>
      <c r="D88" s="145"/>
      <c r="E88" s="133"/>
      <c r="F88" s="133"/>
      <c r="G88" s="133"/>
      <c r="H88" s="145"/>
      <c r="I88" s="145"/>
      <c r="J88" s="145"/>
    </row>
    <row r="89" spans="1:15" ht="15.75" thickBot="1" x14ac:dyDescent="0.3">
      <c r="D89" s="167">
        <v>3782.64</v>
      </c>
    </row>
  </sheetData>
  <mergeCells count="234">
    <mergeCell ref="A1:J1"/>
    <mergeCell ref="A75:G75"/>
    <mergeCell ref="A85:G85"/>
    <mergeCell ref="A47:G47"/>
    <mergeCell ref="A87:G87"/>
    <mergeCell ref="H87:J87"/>
    <mergeCell ref="A35:B35"/>
    <mergeCell ref="C35:D35"/>
    <mergeCell ref="E35:G35"/>
    <mergeCell ref="H35:J35"/>
    <mergeCell ref="A84:B84"/>
    <mergeCell ref="C84:D84"/>
    <mergeCell ref="E84:G84"/>
    <mergeCell ref="H84:J84"/>
    <mergeCell ref="H85:J85"/>
    <mergeCell ref="A82:B82"/>
    <mergeCell ref="C82:D82"/>
    <mergeCell ref="E82:G82"/>
    <mergeCell ref="H82:J82"/>
    <mergeCell ref="A83:B83"/>
    <mergeCell ref="C83:D83"/>
    <mergeCell ref="E83:G83"/>
    <mergeCell ref="H83:J83"/>
    <mergeCell ref="A80:B80"/>
    <mergeCell ref="C80:D80"/>
    <mergeCell ref="E80:G80"/>
    <mergeCell ref="H80:J80"/>
    <mergeCell ref="A81:B81"/>
    <mergeCell ref="C81:D81"/>
    <mergeCell ref="E81:G81"/>
    <mergeCell ref="H81:J81"/>
    <mergeCell ref="A77:J77"/>
    <mergeCell ref="A78:B78"/>
    <mergeCell ref="C78:D78"/>
    <mergeCell ref="E78:G78"/>
    <mergeCell ref="H78:J78"/>
    <mergeCell ref="A79:B79"/>
    <mergeCell ref="C79:D79"/>
    <mergeCell ref="E79:G79"/>
    <mergeCell ref="H79:J79"/>
    <mergeCell ref="A74:B74"/>
    <mergeCell ref="C74:D74"/>
    <mergeCell ref="E74:G74"/>
    <mergeCell ref="H74:J74"/>
    <mergeCell ref="H75:J75"/>
    <mergeCell ref="A72:B72"/>
    <mergeCell ref="C72:D72"/>
    <mergeCell ref="H72:J72"/>
    <mergeCell ref="A73:B73"/>
    <mergeCell ref="C73:D73"/>
    <mergeCell ref="E73:G73"/>
    <mergeCell ref="H73:J73"/>
    <mergeCell ref="A68:D68"/>
    <mergeCell ref="E68:J68"/>
    <mergeCell ref="A70:J70"/>
    <mergeCell ref="A71:B71"/>
    <mergeCell ref="C71:D71"/>
    <mergeCell ref="E71:G71"/>
    <mergeCell ref="H71:J71"/>
    <mergeCell ref="A66:B66"/>
    <mergeCell ref="C66:D66"/>
    <mergeCell ref="H66:J66"/>
    <mergeCell ref="A67:D67"/>
    <mergeCell ref="E67:G67"/>
    <mergeCell ref="H67:J67"/>
    <mergeCell ref="A63:D63"/>
    <mergeCell ref="E63:G63"/>
    <mergeCell ref="H63:J63"/>
    <mergeCell ref="A64:J64"/>
    <mergeCell ref="A65:B65"/>
    <mergeCell ref="C65:D65"/>
    <mergeCell ref="H65:J65"/>
    <mergeCell ref="A61:B61"/>
    <mergeCell ref="C61:D61"/>
    <mergeCell ref="E61:G61"/>
    <mergeCell ref="H61:J61"/>
    <mergeCell ref="A62:B62"/>
    <mergeCell ref="C62:D62"/>
    <mergeCell ref="E62:G62"/>
    <mergeCell ref="H62:J62"/>
    <mergeCell ref="A58:J58"/>
    <mergeCell ref="A59:B59"/>
    <mergeCell ref="C59:D59"/>
    <mergeCell ref="H59:J59"/>
    <mergeCell ref="A60:B60"/>
    <mergeCell ref="C60:D60"/>
    <mergeCell ref="H60:J60"/>
    <mergeCell ref="A56:B56"/>
    <mergeCell ref="C56:D56"/>
    <mergeCell ref="E56:G56"/>
    <mergeCell ref="H56:J56"/>
    <mergeCell ref="A57:D57"/>
    <mergeCell ref="E57:G57"/>
    <mergeCell ref="H57:J57"/>
    <mergeCell ref="A54:B54"/>
    <mergeCell ref="C54:D54"/>
    <mergeCell ref="E54:G54"/>
    <mergeCell ref="H54:J54"/>
    <mergeCell ref="A55:B55"/>
    <mergeCell ref="C55:D55"/>
    <mergeCell ref="E55:G55"/>
    <mergeCell ref="H55:J55"/>
    <mergeCell ref="A52:B52"/>
    <mergeCell ref="C52:D52"/>
    <mergeCell ref="E52:G52"/>
    <mergeCell ref="H52:J52"/>
    <mergeCell ref="A53:B53"/>
    <mergeCell ref="C53:D53"/>
    <mergeCell ref="E53:G53"/>
    <mergeCell ref="H53:J53"/>
    <mergeCell ref="A49:J49"/>
    <mergeCell ref="A50:B50"/>
    <mergeCell ref="C50:D50"/>
    <mergeCell ref="H50:J50"/>
    <mergeCell ref="A51:B51"/>
    <mergeCell ref="C51:D51"/>
    <mergeCell ref="H51:J51"/>
    <mergeCell ref="A46:B46"/>
    <mergeCell ref="C46:D46"/>
    <mergeCell ref="E46:G46"/>
    <mergeCell ref="H46:J46"/>
    <mergeCell ref="H47:J47"/>
    <mergeCell ref="A44:B44"/>
    <mergeCell ref="C44:D44"/>
    <mergeCell ref="E44:G44"/>
    <mergeCell ref="H44:J44"/>
    <mergeCell ref="A45:B45"/>
    <mergeCell ref="C45:D45"/>
    <mergeCell ref="E45:G45"/>
    <mergeCell ref="H45:J45"/>
    <mergeCell ref="A42:B42"/>
    <mergeCell ref="C42:D42"/>
    <mergeCell ref="H42:J42"/>
    <mergeCell ref="A43:B43"/>
    <mergeCell ref="C43:D43"/>
    <mergeCell ref="E43:G43"/>
    <mergeCell ref="H43:J43"/>
    <mergeCell ref="A38:D38"/>
    <mergeCell ref="E38:J38"/>
    <mergeCell ref="A39:J39"/>
    <mergeCell ref="A40:J40"/>
    <mergeCell ref="A41:B41"/>
    <mergeCell ref="C41:D41"/>
    <mergeCell ref="H41:J41"/>
    <mergeCell ref="A36:B36"/>
    <mergeCell ref="C36:D36"/>
    <mergeCell ref="E36:G36"/>
    <mergeCell ref="H36:J36"/>
    <mergeCell ref="A37:G37"/>
    <mergeCell ref="H37:J3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L87"/>
  <sheetViews>
    <sheetView view="pageBreakPreview" topLeftCell="A33" zoomScale="60" zoomScaleNormal="100" workbookViewId="0">
      <selection activeCell="L48" sqref="L48"/>
    </sheetView>
  </sheetViews>
  <sheetFormatPr defaultRowHeight="15" x14ac:dyDescent="0.25"/>
  <cols>
    <col min="1" max="1" width="6.7109375" style="146" customWidth="1"/>
    <col min="2" max="2" width="3.42578125" style="146" customWidth="1"/>
    <col min="3" max="3" width="8.85546875" style="134" customWidth="1"/>
    <col min="4" max="4" width="42.7109375" style="134" customWidth="1"/>
    <col min="5" max="7" width="3.140625" style="116" customWidth="1"/>
    <col min="8" max="8" width="5.5703125" style="134" customWidth="1"/>
    <col min="9" max="9" width="2.28515625" style="134" customWidth="1"/>
    <col min="10" max="10" width="5" style="134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400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  <c r="L5" s="136"/>
    </row>
    <row r="6" spans="1:12" x14ac:dyDescent="0.25">
      <c r="A6" s="123" t="s">
        <v>2</v>
      </c>
      <c r="B6" s="606" t="s">
        <v>1</v>
      </c>
      <c r="C6" s="607"/>
      <c r="D6" s="608"/>
      <c r="E6" s="1009">
        <v>1137.23</v>
      </c>
      <c r="F6" s="1009"/>
      <c r="G6" s="1009"/>
      <c r="H6" s="1009"/>
      <c r="I6" s="1009"/>
      <c r="J6" s="1009"/>
      <c r="K6" s="136"/>
      <c r="L6" s="136"/>
    </row>
    <row r="7" spans="1:12" x14ac:dyDescent="0.25">
      <c r="A7" s="123" t="s">
        <v>7</v>
      </c>
      <c r="B7" s="606" t="s">
        <v>25</v>
      </c>
      <c r="C7" s="607"/>
      <c r="D7" s="608"/>
      <c r="E7" s="1011">
        <f>E6*30%</f>
        <v>341.16899999999998</v>
      </c>
      <c r="F7" s="1012"/>
      <c r="G7" s="1012"/>
      <c r="H7" s="1012"/>
      <c r="I7" s="1012"/>
      <c r="J7" s="1013"/>
      <c r="K7" s="136"/>
      <c r="L7" s="136"/>
    </row>
    <row r="8" spans="1:12" x14ac:dyDescent="0.25">
      <c r="A8" s="123" t="s">
        <v>8</v>
      </c>
      <c r="B8" s="606" t="s">
        <v>26</v>
      </c>
      <c r="C8" s="607"/>
      <c r="D8" s="608"/>
      <c r="E8" s="1011"/>
      <c r="F8" s="1012"/>
      <c r="G8" s="1012"/>
      <c r="H8" s="1012"/>
      <c r="I8" s="1012"/>
      <c r="J8" s="1013"/>
      <c r="K8" s="136"/>
      <c r="L8" s="136"/>
    </row>
    <row r="9" spans="1:12" x14ac:dyDescent="0.25">
      <c r="A9" s="123" t="s">
        <v>9</v>
      </c>
      <c r="B9" s="606" t="s">
        <v>27</v>
      </c>
      <c r="C9" s="607"/>
      <c r="D9" s="608"/>
      <c r="E9" s="1011"/>
      <c r="F9" s="1012"/>
      <c r="G9" s="1012"/>
      <c r="H9" s="1012"/>
      <c r="I9" s="1012"/>
      <c r="J9" s="1013"/>
      <c r="K9" s="136"/>
      <c r="L9" s="136"/>
    </row>
    <row r="10" spans="1:12" x14ac:dyDescent="0.25">
      <c r="A10" s="123" t="s">
        <v>10</v>
      </c>
      <c r="B10" s="606" t="s">
        <v>28</v>
      </c>
      <c r="C10" s="607"/>
      <c r="D10" s="608"/>
      <c r="E10" s="1009"/>
      <c r="F10" s="1009"/>
      <c r="G10" s="1009"/>
      <c r="H10" s="1009"/>
      <c r="I10" s="1009"/>
      <c r="J10" s="1009"/>
      <c r="K10" s="136"/>
      <c r="L10" s="136"/>
    </row>
    <row r="11" spans="1:12" ht="15" customHeight="1" thickBot="1" x14ac:dyDescent="0.3">
      <c r="A11" s="125" t="s">
        <v>11</v>
      </c>
      <c r="B11" s="609" t="s">
        <v>242</v>
      </c>
      <c r="C11" s="610"/>
      <c r="D11" s="611"/>
      <c r="E11" s="1010">
        <f>1045*0%</f>
        <v>0</v>
      </c>
      <c r="F11" s="1010"/>
      <c r="G11" s="1010"/>
      <c r="H11" s="1010"/>
      <c r="I11" s="1010"/>
      <c r="J11" s="1010"/>
      <c r="K11" s="136"/>
      <c r="L11" s="136"/>
    </row>
    <row r="12" spans="1:12" ht="15.75" thickBot="1" x14ac:dyDescent="0.3">
      <c r="A12" s="458" t="s">
        <v>401</v>
      </c>
      <c r="B12" s="459"/>
      <c r="C12" s="459"/>
      <c r="D12" s="460"/>
      <c r="E12" s="547">
        <f>SUM(E6:J11)</f>
        <v>1478.3989999999999</v>
      </c>
      <c r="F12" s="485"/>
      <c r="G12" s="485"/>
      <c r="H12" s="485"/>
      <c r="I12" s="485"/>
      <c r="J12" s="486"/>
      <c r="K12" s="136"/>
      <c r="L12" s="136"/>
    </row>
    <row r="13" spans="1:12" ht="27.75" customHeight="1" x14ac:dyDescent="0.25">
      <c r="A13" s="551" t="s">
        <v>29</v>
      </c>
      <c r="B13" s="715"/>
      <c r="C13" s="715"/>
      <c r="D13" s="716"/>
      <c r="E13" s="548">
        <f>E12*E30</f>
        <v>544.05083200000001</v>
      </c>
      <c r="F13" s="549"/>
      <c r="G13" s="549"/>
      <c r="H13" s="549"/>
      <c r="I13" s="549"/>
      <c r="J13" s="550"/>
      <c r="K13" s="136"/>
      <c r="L13" s="136"/>
    </row>
    <row r="14" spans="1:12" ht="9.7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  <c r="L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2" x14ac:dyDescent="0.25">
      <c r="A17" s="123" t="s">
        <v>2</v>
      </c>
      <c r="B17" s="482" t="s">
        <v>34</v>
      </c>
      <c r="C17" s="521"/>
      <c r="D17" s="483"/>
      <c r="E17" s="322">
        <v>8.3299999999999999E-2</v>
      </c>
      <c r="F17" s="323"/>
      <c r="G17" s="324"/>
      <c r="H17" s="450">
        <f>E17*E12</f>
        <v>123.15063669999999</v>
      </c>
      <c r="I17" s="450"/>
      <c r="J17" s="450"/>
      <c r="K17" s="136"/>
      <c r="L17" s="136"/>
    </row>
    <row r="18" spans="1:12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178.88627899999997</v>
      </c>
      <c r="I18" s="450"/>
      <c r="J18" s="450"/>
      <c r="K18" s="136"/>
      <c r="L18" s="136"/>
    </row>
    <row r="19" spans="1:12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302.03691569999995</v>
      </c>
      <c r="I19" s="525"/>
      <c r="J19" s="525"/>
      <c r="K19" s="136"/>
      <c r="L19" s="136"/>
    </row>
    <row r="20" spans="1:12" ht="34.5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115.6108018</v>
      </c>
      <c r="I20" s="291"/>
      <c r="J20" s="292"/>
      <c r="K20" s="136"/>
      <c r="L20" s="136"/>
    </row>
    <row r="21" spans="1:12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2" x14ac:dyDescent="0.25">
      <c r="A22" s="532" t="s">
        <v>2</v>
      </c>
      <c r="B22" s="533"/>
      <c r="C22" s="510" t="s">
        <v>3</v>
      </c>
      <c r="D22" s="511"/>
      <c r="E22" s="603">
        <v>0.2</v>
      </c>
      <c r="F22" s="603"/>
      <c r="G22" s="603"/>
      <c r="H22" s="450">
        <f>E22*(E12+H19)</f>
        <v>356.08718313999998</v>
      </c>
      <c r="I22" s="450"/>
      <c r="J22" s="450"/>
      <c r="K22" s="136"/>
      <c r="L22" s="136"/>
    </row>
    <row r="23" spans="1:12" x14ac:dyDescent="0.25">
      <c r="A23" s="532" t="s">
        <v>7</v>
      </c>
      <c r="B23" s="53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44.510897892499997</v>
      </c>
      <c r="I23" s="450"/>
      <c r="J23" s="450"/>
      <c r="K23" s="136"/>
      <c r="L23" s="136"/>
    </row>
    <row r="24" spans="1:12" x14ac:dyDescent="0.25">
      <c r="A24" s="532" t="s">
        <v>8</v>
      </c>
      <c r="B24" s="533"/>
      <c r="C24" s="512" t="s">
        <v>42</v>
      </c>
      <c r="D24" s="513"/>
      <c r="E24" s="514">
        <v>0.03</v>
      </c>
      <c r="F24" s="514"/>
      <c r="G24" s="514"/>
      <c r="H24" s="450">
        <f>E24*(E12+H19)</f>
        <v>53.413077470999994</v>
      </c>
      <c r="I24" s="450"/>
      <c r="J24" s="450"/>
      <c r="K24" s="136"/>
      <c r="L24" s="136"/>
    </row>
    <row r="25" spans="1:12" x14ac:dyDescent="0.25">
      <c r="A25" s="532" t="s">
        <v>9</v>
      </c>
      <c r="B25" s="53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26.706538735499997</v>
      </c>
      <c r="I25" s="450"/>
      <c r="J25" s="450"/>
      <c r="K25" s="136"/>
      <c r="L25" s="136"/>
    </row>
    <row r="26" spans="1:12" x14ac:dyDescent="0.25">
      <c r="A26" s="532" t="s">
        <v>10</v>
      </c>
      <c r="B26" s="533"/>
      <c r="C26" s="482" t="s">
        <v>44</v>
      </c>
      <c r="D26" s="483"/>
      <c r="E26" s="497">
        <v>0.01</v>
      </c>
      <c r="F26" s="497"/>
      <c r="G26" s="497"/>
      <c r="H26" s="450">
        <f>E26*(E12+H19)</f>
        <v>17.804359157</v>
      </c>
      <c r="I26" s="450"/>
      <c r="J26" s="450"/>
      <c r="K26" s="136"/>
      <c r="L26" s="136"/>
    </row>
    <row r="27" spans="1:12" x14ac:dyDescent="0.25">
      <c r="A27" s="532" t="s">
        <v>11</v>
      </c>
      <c r="B27" s="53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10.6826154942</v>
      </c>
      <c r="I27" s="450"/>
      <c r="J27" s="450"/>
      <c r="K27" s="136"/>
      <c r="L27" s="136"/>
    </row>
    <row r="28" spans="1:12" x14ac:dyDescent="0.25">
      <c r="A28" s="532" t="s">
        <v>39</v>
      </c>
      <c r="B28" s="533"/>
      <c r="C28" s="482" t="s">
        <v>5</v>
      </c>
      <c r="D28" s="483"/>
      <c r="E28" s="497">
        <v>2E-3</v>
      </c>
      <c r="F28" s="497"/>
      <c r="G28" s="497"/>
      <c r="H28" s="450">
        <f>E28*(E12+H19)</f>
        <v>3.5608718314000001</v>
      </c>
      <c r="I28" s="450"/>
      <c r="J28" s="450"/>
      <c r="K28" s="136"/>
      <c r="L28" s="136"/>
    </row>
    <row r="29" spans="1:12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142.434873256</v>
      </c>
      <c r="I29" s="450"/>
      <c r="J29" s="450"/>
      <c r="K29" s="136"/>
      <c r="L29" s="136"/>
    </row>
    <row r="30" spans="1:12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655.20041697760007</v>
      </c>
      <c r="I30" s="592"/>
      <c r="J30" s="592"/>
      <c r="K30" s="136"/>
      <c r="L30" s="136"/>
    </row>
    <row r="31" spans="1:12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2" x14ac:dyDescent="0.25">
      <c r="A32" s="532" t="s">
        <v>2</v>
      </c>
      <c r="B32" s="533"/>
      <c r="C32" s="510" t="s">
        <v>46</v>
      </c>
      <c r="D32" s="511"/>
      <c r="E32" s="603"/>
      <c r="F32" s="603"/>
      <c r="G32" s="603"/>
      <c r="H32" s="450">
        <f>(3.9*2*25.5)-6%*E6</f>
        <v>130.6662</v>
      </c>
      <c r="I32" s="450"/>
      <c r="J32" s="450"/>
      <c r="K32" s="136"/>
      <c r="L32" s="136"/>
    </row>
    <row r="33" spans="1:12" x14ac:dyDescent="0.25">
      <c r="A33" s="532" t="s">
        <v>7</v>
      </c>
      <c r="B33" s="533"/>
      <c r="C33" s="482" t="s">
        <v>47</v>
      </c>
      <c r="D33" s="483"/>
      <c r="E33" s="497"/>
      <c r="F33" s="497"/>
      <c r="G33" s="497"/>
      <c r="H33" s="450">
        <f>(13.13*25.5)</f>
        <v>334.815</v>
      </c>
      <c r="I33" s="450"/>
      <c r="J33" s="450"/>
      <c r="K33" s="136"/>
      <c r="L33" s="136"/>
    </row>
    <row r="34" spans="1:12" x14ac:dyDescent="0.25">
      <c r="A34" s="532" t="s">
        <v>8</v>
      </c>
      <c r="B34" s="533"/>
      <c r="C34" s="284" t="s">
        <v>176</v>
      </c>
      <c r="D34" s="286"/>
      <c r="E34" s="497"/>
      <c r="F34" s="497"/>
      <c r="G34" s="497"/>
      <c r="H34" s="450">
        <v>204.21</v>
      </c>
      <c r="I34" s="450"/>
      <c r="J34" s="450"/>
      <c r="K34" s="136"/>
      <c r="L34" s="136"/>
    </row>
    <row r="35" spans="1:12" x14ac:dyDescent="0.25">
      <c r="A35" s="532" t="s">
        <v>9</v>
      </c>
      <c r="B35" s="533"/>
      <c r="C35" s="478" t="s">
        <v>28</v>
      </c>
      <c r="D35" s="479"/>
      <c r="E35" s="497"/>
      <c r="F35" s="497"/>
      <c r="G35" s="497"/>
      <c r="H35" s="450">
        <v>25.95</v>
      </c>
      <c r="I35" s="450"/>
      <c r="J35" s="450"/>
      <c r="K35" s="136"/>
      <c r="L35" s="136"/>
    </row>
    <row r="36" spans="1:12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695.64120000000003</v>
      </c>
      <c r="I36" s="451"/>
      <c r="J36" s="451"/>
      <c r="K36" s="136"/>
      <c r="L36" s="136"/>
    </row>
    <row r="37" spans="1:12" ht="15.75" thickBot="1" x14ac:dyDescent="0.3">
      <c r="A37" s="458" t="s">
        <v>72</v>
      </c>
      <c r="B37" s="459"/>
      <c r="C37" s="459"/>
      <c r="D37" s="460"/>
      <c r="E37" s="587">
        <f>H19+H30+H36</f>
        <v>1652.8785326776001</v>
      </c>
      <c r="F37" s="498"/>
      <c r="G37" s="498"/>
      <c r="H37" s="498"/>
      <c r="I37" s="498"/>
      <c r="J37" s="499"/>
      <c r="K37" s="136"/>
      <c r="L37" s="136"/>
    </row>
    <row r="38" spans="1:12" ht="11.25" customHeight="1" thickBot="1" x14ac:dyDescent="0.3">
      <c r="A38" s="616"/>
      <c r="B38" s="616"/>
      <c r="C38" s="616"/>
      <c r="D38" s="616"/>
      <c r="E38" s="616"/>
      <c r="F38" s="616"/>
      <c r="G38" s="616"/>
      <c r="H38" s="616"/>
      <c r="I38" s="616"/>
      <c r="J38" s="616"/>
      <c r="K38" s="136"/>
      <c r="L38" s="136"/>
    </row>
    <row r="39" spans="1:12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2" x14ac:dyDescent="0.25">
      <c r="A40" s="954" t="s">
        <v>2</v>
      </c>
      <c r="B40" s="955"/>
      <c r="C40" s="452" t="s">
        <v>51</v>
      </c>
      <c r="D40" s="453"/>
      <c r="E40" s="128"/>
      <c r="F40" s="129"/>
      <c r="G40" s="130"/>
      <c r="H40" s="456">
        <f>E12/12*5%</f>
        <v>6.1599958333333333</v>
      </c>
      <c r="I40" s="457"/>
      <c r="J40" s="453"/>
      <c r="K40" s="136"/>
      <c r="L40" s="136"/>
    </row>
    <row r="41" spans="1:12" x14ac:dyDescent="0.25">
      <c r="A41" s="954" t="s">
        <v>7</v>
      </c>
      <c r="B41" s="955"/>
      <c r="C41" s="452" t="s">
        <v>52</v>
      </c>
      <c r="D41" s="453"/>
      <c r="E41" s="128"/>
      <c r="F41" s="129"/>
      <c r="G41" s="130"/>
      <c r="H41" s="456">
        <f>H40*8%</f>
        <v>0.49279966666666669</v>
      </c>
      <c r="I41" s="457"/>
      <c r="J41" s="453"/>
      <c r="K41" s="136"/>
      <c r="L41" s="136"/>
    </row>
    <row r="42" spans="1:12" ht="30.75" customHeight="1" x14ac:dyDescent="0.25">
      <c r="A42" s="954" t="s">
        <v>8</v>
      </c>
      <c r="B42" s="955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  <c r="L42" s="136"/>
    </row>
    <row r="43" spans="1:12" x14ac:dyDescent="0.25">
      <c r="A43" s="956" t="s">
        <v>9</v>
      </c>
      <c r="B43" s="956"/>
      <c r="C43" s="482" t="s">
        <v>54</v>
      </c>
      <c r="D43" s="483"/>
      <c r="E43" s="497"/>
      <c r="F43" s="497"/>
      <c r="G43" s="497"/>
      <c r="H43" s="450">
        <f>E12/30/12*7*100%</f>
        <v>28.746647222222215</v>
      </c>
      <c r="I43" s="450"/>
      <c r="J43" s="450"/>
      <c r="K43" s="136"/>
      <c r="L43" s="136"/>
    </row>
    <row r="44" spans="1:12" ht="30.75" customHeight="1" x14ac:dyDescent="0.25">
      <c r="A44" s="956" t="s">
        <v>10</v>
      </c>
      <c r="B44" s="956"/>
      <c r="C44" s="478" t="s">
        <v>83</v>
      </c>
      <c r="D44" s="479"/>
      <c r="E44" s="497"/>
      <c r="F44" s="497"/>
      <c r="G44" s="497"/>
      <c r="H44" s="450">
        <f>H43*39.8%</f>
        <v>11.44116559444444</v>
      </c>
      <c r="I44" s="450"/>
      <c r="J44" s="450"/>
      <c r="K44" s="136"/>
      <c r="L44" s="136"/>
    </row>
    <row r="45" spans="1:12" ht="30.75" customHeight="1" thickBot="1" x14ac:dyDescent="0.3">
      <c r="A45" s="958" t="s">
        <v>11</v>
      </c>
      <c r="B45" s="959"/>
      <c r="C45" s="475" t="s">
        <v>53</v>
      </c>
      <c r="D45" s="476"/>
      <c r="E45" s="836"/>
      <c r="F45" s="837"/>
      <c r="G45" s="838"/>
      <c r="H45" s="470">
        <f>E12*5%</f>
        <v>73.91995</v>
      </c>
      <c r="I45" s="471"/>
      <c r="J45" s="472"/>
      <c r="K45" s="136"/>
      <c r="L45" s="136"/>
    </row>
    <row r="46" spans="1:12" ht="15.75" thickBot="1" x14ac:dyDescent="0.3">
      <c r="A46" s="570" t="s">
        <v>318</v>
      </c>
      <c r="B46" s="571"/>
      <c r="C46" s="571"/>
      <c r="D46" s="571"/>
      <c r="E46" s="571"/>
      <c r="F46" s="571"/>
      <c r="G46" s="572"/>
      <c r="H46" s="547">
        <f>SUM(H40:J45)</f>
        <v>120.76055831666666</v>
      </c>
      <c r="I46" s="485"/>
      <c r="J46" s="486"/>
      <c r="K46" s="136"/>
      <c r="L46" s="136"/>
    </row>
    <row r="47" spans="1:12" ht="9.75" customHeight="1" thickBot="1" x14ac:dyDescent="0.3">
      <c r="E47" s="131"/>
      <c r="F47" s="131"/>
      <c r="G47" s="131"/>
      <c r="H47" s="161"/>
      <c r="I47" s="161"/>
      <c r="J47" s="161"/>
      <c r="K47" s="136"/>
      <c r="L47" s="136"/>
    </row>
    <row r="48" spans="1:12" ht="33" customHeight="1" thickBot="1" x14ac:dyDescent="0.3">
      <c r="A48" s="494" t="s">
        <v>317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2" x14ac:dyDescent="0.25">
      <c r="A49" s="954" t="s">
        <v>2</v>
      </c>
      <c r="B49" s="955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36"/>
      <c r="L49" s="136"/>
    </row>
    <row r="50" spans="1:12" x14ac:dyDescent="0.25">
      <c r="A50" s="954" t="s">
        <v>7</v>
      </c>
      <c r="B50" s="955"/>
      <c r="C50" s="452" t="s">
        <v>57</v>
      </c>
      <c r="D50" s="453"/>
      <c r="E50" s="128"/>
      <c r="F50" s="129"/>
      <c r="G50" s="130"/>
      <c r="H50" s="456">
        <f>E12/30/12</f>
        <v>4.106663888888888</v>
      </c>
      <c r="I50" s="457"/>
      <c r="J50" s="453"/>
      <c r="K50" s="136"/>
      <c r="L50" s="136"/>
    </row>
    <row r="51" spans="1:12" x14ac:dyDescent="0.25">
      <c r="A51" s="954" t="s">
        <v>8</v>
      </c>
      <c r="B51" s="955"/>
      <c r="C51" s="320" t="s">
        <v>58</v>
      </c>
      <c r="D51" s="321"/>
      <c r="E51" s="322"/>
      <c r="F51" s="323"/>
      <c r="G51" s="324"/>
      <c r="H51" s="450">
        <f>E12/30/12*5*1.5%</f>
        <v>0.30799979166666658</v>
      </c>
      <c r="I51" s="450"/>
      <c r="J51" s="450"/>
      <c r="K51" s="136"/>
      <c r="L51" s="136"/>
    </row>
    <row r="52" spans="1:12" ht="31.5" customHeight="1" x14ac:dyDescent="0.25">
      <c r="A52" s="956" t="s">
        <v>9</v>
      </c>
      <c r="B52" s="956"/>
      <c r="C52" s="284" t="s">
        <v>59</v>
      </c>
      <c r="D52" s="286"/>
      <c r="E52" s="497"/>
      <c r="F52" s="497"/>
      <c r="G52" s="497"/>
      <c r="H52" s="450">
        <f>E12/30/12*15*8%</f>
        <v>4.9279966666666652</v>
      </c>
      <c r="I52" s="450"/>
      <c r="J52" s="450"/>
      <c r="K52" s="136"/>
      <c r="L52" s="136"/>
    </row>
    <row r="53" spans="1:12" x14ac:dyDescent="0.25">
      <c r="A53" s="956" t="s">
        <v>10</v>
      </c>
      <c r="B53" s="956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36"/>
      <c r="L53" s="136"/>
    </row>
    <row r="54" spans="1:12" x14ac:dyDescent="0.25">
      <c r="A54" s="956" t="s">
        <v>11</v>
      </c>
      <c r="B54" s="956"/>
      <c r="C54" s="478" t="s">
        <v>61</v>
      </c>
      <c r="D54" s="479"/>
      <c r="E54" s="497"/>
      <c r="F54" s="497"/>
      <c r="G54" s="497"/>
      <c r="H54" s="450">
        <f>E12/30/12*5*40%</f>
        <v>8.213327777777776</v>
      </c>
      <c r="I54" s="450"/>
      <c r="J54" s="450"/>
      <c r="K54" s="136"/>
      <c r="L54" s="136"/>
    </row>
    <row r="55" spans="1:12" ht="30" customHeight="1" x14ac:dyDescent="0.25">
      <c r="A55" s="956" t="s">
        <v>39</v>
      </c>
      <c r="B55" s="956"/>
      <c r="C55" s="478" t="s">
        <v>62</v>
      </c>
      <c r="D55" s="479"/>
      <c r="E55" s="497"/>
      <c r="F55" s="497"/>
      <c r="G55" s="497"/>
      <c r="H55" s="450">
        <f>SUM(H49:J54)*39.8%</f>
        <v>6.9889691354166636</v>
      </c>
      <c r="I55" s="450"/>
      <c r="J55" s="450"/>
      <c r="K55" s="136"/>
      <c r="L55" s="136"/>
    </row>
    <row r="56" spans="1:12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24.549193093749992</v>
      </c>
      <c r="I56" s="592"/>
      <c r="J56" s="592"/>
      <c r="K56" s="136"/>
      <c r="L56" s="136"/>
    </row>
    <row r="57" spans="1:12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2" ht="32.25" customHeight="1" x14ac:dyDescent="0.25">
      <c r="A58" s="954" t="s">
        <v>2</v>
      </c>
      <c r="B58" s="955"/>
      <c r="C58" s="454" t="s">
        <v>64</v>
      </c>
      <c r="D58" s="455"/>
      <c r="E58" s="128"/>
      <c r="F58" s="129"/>
      <c r="G58" s="130"/>
      <c r="H58" s="456">
        <f>((((E12+(E12/3))*0.3333)/12)*2%)</f>
        <v>1.0950008593333331</v>
      </c>
      <c r="I58" s="457"/>
      <c r="J58" s="453"/>
      <c r="K58" s="136"/>
      <c r="L58" s="136"/>
    </row>
    <row r="59" spans="1:12" ht="46.5" customHeight="1" x14ac:dyDescent="0.25">
      <c r="A59" s="954" t="s">
        <v>7</v>
      </c>
      <c r="B59" s="955"/>
      <c r="C59" s="454" t="s">
        <v>65</v>
      </c>
      <c r="D59" s="455"/>
      <c r="E59" s="128"/>
      <c r="F59" s="129"/>
      <c r="G59" s="130"/>
      <c r="H59" s="456">
        <f>H58*39.8%</f>
        <v>0.43581034201466656</v>
      </c>
      <c r="I59" s="457"/>
      <c r="J59" s="453"/>
      <c r="K59" s="136"/>
      <c r="L59" s="136"/>
    </row>
    <row r="60" spans="1:12" ht="44.25" customHeight="1" x14ac:dyDescent="0.25">
      <c r="A60" s="954" t="s">
        <v>8</v>
      </c>
      <c r="B60" s="955"/>
      <c r="C60" s="454" t="s">
        <v>66</v>
      </c>
      <c r="D60" s="455"/>
      <c r="E60" s="322"/>
      <c r="F60" s="323"/>
      <c r="G60" s="324"/>
      <c r="H60" s="450">
        <f>(((E12+H17)*0.333)*2%)*39.8%</f>
        <v>4.2451955910079562</v>
      </c>
      <c r="I60" s="450"/>
      <c r="J60" s="450"/>
      <c r="K60" s="136"/>
      <c r="L60" s="136"/>
    </row>
    <row r="61" spans="1:12" x14ac:dyDescent="0.25">
      <c r="A61" s="956" t="s">
        <v>9</v>
      </c>
      <c r="B61" s="956"/>
      <c r="C61" s="482" t="s">
        <v>67</v>
      </c>
      <c r="D61" s="483"/>
      <c r="E61" s="497"/>
      <c r="F61" s="497"/>
      <c r="G61" s="497"/>
      <c r="H61" s="450"/>
      <c r="I61" s="450"/>
      <c r="J61" s="450"/>
      <c r="K61" s="136"/>
      <c r="L61" s="136"/>
    </row>
    <row r="62" spans="1:12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5.7760067923559557</v>
      </c>
      <c r="I62" s="592"/>
      <c r="J62" s="592"/>
      <c r="K62" s="136"/>
      <c r="L62" s="136"/>
    </row>
    <row r="63" spans="1:12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2" ht="33" customHeight="1" x14ac:dyDescent="0.25">
      <c r="A64" s="954" t="s">
        <v>2</v>
      </c>
      <c r="B64" s="955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36"/>
      <c r="L64" s="136"/>
    </row>
    <row r="65" spans="1:12" ht="29.25" customHeight="1" x14ac:dyDescent="0.25">
      <c r="A65" s="954" t="s">
        <v>7</v>
      </c>
      <c r="B65" s="955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36"/>
      <c r="L65" s="136"/>
    </row>
    <row r="66" spans="1:12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  <c r="L66" s="136"/>
    </row>
    <row r="67" spans="1:12" ht="15.75" thickBot="1" x14ac:dyDescent="0.3">
      <c r="A67" s="458" t="s">
        <v>71</v>
      </c>
      <c r="B67" s="459"/>
      <c r="C67" s="459"/>
      <c r="D67" s="460"/>
      <c r="E67" s="587">
        <f>H66+H62+H56</f>
        <v>30.325325175797946</v>
      </c>
      <c r="F67" s="498"/>
      <c r="G67" s="498"/>
      <c r="H67" s="498"/>
      <c r="I67" s="498"/>
      <c r="J67" s="499"/>
      <c r="K67" s="136"/>
      <c r="L67" s="136"/>
    </row>
    <row r="68" spans="1:12" ht="11.2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36"/>
      <c r="L68" s="136"/>
    </row>
    <row r="69" spans="1:12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2" x14ac:dyDescent="0.25">
      <c r="A70" s="954" t="s">
        <v>2</v>
      </c>
      <c r="B70" s="955"/>
      <c r="C70" s="452" t="s">
        <v>74</v>
      </c>
      <c r="D70" s="453"/>
      <c r="E70" s="839"/>
      <c r="F70" s="840"/>
      <c r="G70" s="841"/>
      <c r="H70" s="456">
        <v>300</v>
      </c>
      <c r="I70" s="457"/>
      <c r="J70" s="453"/>
      <c r="K70" s="136"/>
      <c r="L70" s="136"/>
    </row>
    <row r="71" spans="1:12" x14ac:dyDescent="0.25">
      <c r="A71" s="954" t="s">
        <v>7</v>
      </c>
      <c r="B71" s="955"/>
      <c r="C71" s="452" t="s">
        <v>75</v>
      </c>
      <c r="D71" s="453"/>
      <c r="E71" s="128"/>
      <c r="F71" s="129"/>
      <c r="G71" s="130"/>
      <c r="H71" s="456">
        <v>5</v>
      </c>
      <c r="I71" s="457"/>
      <c r="J71" s="453"/>
      <c r="K71" s="136"/>
      <c r="L71" s="136"/>
    </row>
    <row r="72" spans="1:12" x14ac:dyDescent="0.25">
      <c r="A72" s="954" t="s">
        <v>8</v>
      </c>
      <c r="B72" s="955"/>
      <c r="C72" s="320" t="s">
        <v>76</v>
      </c>
      <c r="D72" s="321"/>
      <c r="E72" s="322"/>
      <c r="F72" s="323"/>
      <c r="G72" s="324"/>
      <c r="H72" s="450">
        <v>43.5</v>
      </c>
      <c r="I72" s="450"/>
      <c r="J72" s="450"/>
      <c r="K72" s="136"/>
      <c r="L72" s="136"/>
    </row>
    <row r="73" spans="1:12" ht="15.75" thickBot="1" x14ac:dyDescent="0.3">
      <c r="A73" s="957" t="s">
        <v>9</v>
      </c>
      <c r="B73" s="957"/>
      <c r="C73" s="473" t="s">
        <v>28</v>
      </c>
      <c r="D73" s="474"/>
      <c r="E73" s="842"/>
      <c r="F73" s="842"/>
      <c r="G73" s="842"/>
      <c r="H73" s="449">
        <v>25</v>
      </c>
      <c r="I73" s="449"/>
      <c r="J73" s="449"/>
      <c r="K73" s="136"/>
      <c r="L73" s="136"/>
    </row>
    <row r="74" spans="1:12" ht="15.75" thickBot="1" x14ac:dyDescent="0.3">
      <c r="A74" s="570" t="s">
        <v>320</v>
      </c>
      <c r="B74" s="571"/>
      <c r="C74" s="571"/>
      <c r="D74" s="571"/>
      <c r="E74" s="571"/>
      <c r="F74" s="571"/>
      <c r="G74" s="572"/>
      <c r="H74" s="547">
        <f>SUM(H70:J73)</f>
        <v>373.5</v>
      </c>
      <c r="I74" s="485"/>
      <c r="J74" s="486"/>
      <c r="K74" s="136"/>
      <c r="L74" s="136"/>
    </row>
    <row r="75" spans="1:12" ht="9" customHeight="1" thickBot="1" x14ac:dyDescent="0.3">
      <c r="E75" s="131"/>
      <c r="F75" s="131"/>
      <c r="G75" s="131"/>
      <c r="H75" s="161"/>
      <c r="I75" s="161"/>
      <c r="J75" s="161"/>
      <c r="K75" s="136"/>
      <c r="L75" s="136"/>
    </row>
    <row r="76" spans="1:12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2" x14ac:dyDescent="0.25">
      <c r="A77" s="954" t="s">
        <v>2</v>
      </c>
      <c r="B77" s="955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255.91043913190455</v>
      </c>
      <c r="I77" s="457"/>
      <c r="J77" s="453"/>
      <c r="K77" s="136"/>
      <c r="L77" s="136"/>
    </row>
    <row r="78" spans="1:12" x14ac:dyDescent="0.25">
      <c r="A78" s="954" t="s">
        <v>7</v>
      </c>
      <c r="B78" s="955"/>
      <c r="C78" s="452" t="s">
        <v>12</v>
      </c>
      <c r="D78" s="453"/>
      <c r="E78" s="843">
        <v>7.5774185115783349E-2</v>
      </c>
      <c r="F78" s="840"/>
      <c r="G78" s="841"/>
      <c r="H78" s="456">
        <f>E78*(H74+E67+H46+E37+E12)</f>
        <v>277.02007125489058</v>
      </c>
      <c r="I78" s="457"/>
      <c r="J78" s="453"/>
      <c r="K78" s="136"/>
      <c r="L78" s="136"/>
    </row>
    <row r="79" spans="1:12" x14ac:dyDescent="0.25">
      <c r="A79" s="954" t="s">
        <v>8</v>
      </c>
      <c r="B79" s="955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4263.3975698776267</v>
      </c>
      <c r="I79" s="450"/>
      <c r="J79" s="450"/>
      <c r="K79" s="136"/>
      <c r="L79" s="136"/>
    </row>
    <row r="80" spans="1:12" x14ac:dyDescent="0.25">
      <c r="A80" s="956" t="s">
        <v>9</v>
      </c>
      <c r="B80" s="956"/>
      <c r="C80" s="482" t="s">
        <v>79</v>
      </c>
      <c r="D80" s="483"/>
      <c r="E80" s="497">
        <v>1.6500000000000001E-2</v>
      </c>
      <c r="F80" s="497"/>
      <c r="G80" s="497"/>
      <c r="H80" s="450">
        <f>E80*H87</f>
        <v>54.550980000000003</v>
      </c>
      <c r="I80" s="450"/>
      <c r="J80" s="450"/>
      <c r="K80" s="136"/>
      <c r="L80" s="136"/>
    </row>
    <row r="81" spans="1:12" x14ac:dyDescent="0.25">
      <c r="A81" s="956" t="s">
        <v>9</v>
      </c>
      <c r="B81" s="956"/>
      <c r="C81" s="482" t="s">
        <v>80</v>
      </c>
      <c r="D81" s="483"/>
      <c r="E81" s="497">
        <v>7.5999999999999998E-2</v>
      </c>
      <c r="F81" s="497"/>
      <c r="G81" s="497"/>
      <c r="H81" s="450">
        <f>E81*H87</f>
        <v>251.26512</v>
      </c>
      <c r="I81" s="450"/>
      <c r="J81" s="450"/>
      <c r="K81" s="136"/>
      <c r="L81" s="136"/>
    </row>
    <row r="82" spans="1:12" x14ac:dyDescent="0.25">
      <c r="A82" s="956" t="s">
        <v>10</v>
      </c>
      <c r="B82" s="956"/>
      <c r="C82" s="482" t="s">
        <v>81</v>
      </c>
      <c r="D82" s="483"/>
      <c r="E82" s="497"/>
      <c r="F82" s="497"/>
      <c r="G82" s="497"/>
      <c r="H82" s="450"/>
      <c r="I82" s="450"/>
      <c r="J82" s="450"/>
      <c r="K82" s="136"/>
      <c r="L82" s="136"/>
    </row>
    <row r="83" spans="1:12" ht="15.75" thickBot="1" x14ac:dyDescent="0.3">
      <c r="A83" s="957" t="s">
        <v>11</v>
      </c>
      <c r="B83" s="957"/>
      <c r="C83" s="473" t="s">
        <v>82</v>
      </c>
      <c r="D83" s="474"/>
      <c r="E83" s="842">
        <v>0.05</v>
      </c>
      <c r="F83" s="842"/>
      <c r="G83" s="842"/>
      <c r="H83" s="449">
        <f>E83*H87</f>
        <v>165.30600000000001</v>
      </c>
      <c r="I83" s="449"/>
      <c r="J83" s="449"/>
      <c r="K83" s="136"/>
      <c r="L83" s="136"/>
    </row>
    <row r="84" spans="1:12" ht="15.75" thickBot="1" x14ac:dyDescent="0.3">
      <c r="A84" s="570" t="s">
        <v>321</v>
      </c>
      <c r="B84" s="571"/>
      <c r="C84" s="571"/>
      <c r="D84" s="571"/>
      <c r="E84" s="571"/>
      <c r="F84" s="571"/>
      <c r="G84" s="572"/>
      <c r="H84" s="547">
        <f>H77+H78+H80+H81+H83</f>
        <v>1004.0526103867952</v>
      </c>
      <c r="I84" s="485"/>
      <c r="J84" s="486"/>
      <c r="K84" s="136"/>
      <c r="L84" s="136"/>
    </row>
    <row r="85" spans="1:12" ht="11.25" customHeight="1" thickBot="1" x14ac:dyDescent="0.3">
      <c r="E85" s="131"/>
      <c r="F85" s="131"/>
      <c r="G85" s="131"/>
      <c r="H85" s="161"/>
      <c r="I85" s="161"/>
      <c r="J85" s="161"/>
      <c r="K85" s="136"/>
      <c r="L85" s="136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1014">
        <f>SUM(H84+H74+E67+H46+E37+E12)</f>
        <v>4659.9160265568589</v>
      </c>
      <c r="I86" s="862"/>
      <c r="J86" s="863"/>
    </row>
    <row r="87" spans="1:12" ht="15.75" thickBot="1" x14ac:dyDescent="0.3">
      <c r="H87" s="162">
        <v>3306.12</v>
      </c>
      <c r="I87" s="162"/>
      <c r="J87" s="162"/>
    </row>
  </sheetData>
  <mergeCells count="230">
    <mergeCell ref="A1:J1"/>
    <mergeCell ref="A74:G74"/>
    <mergeCell ref="A84:G8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/>
  </sheetPr>
  <dimension ref="A1:L89"/>
  <sheetViews>
    <sheetView topLeftCell="A70" workbookViewId="0">
      <selection activeCell="E6" sqref="E6:J6"/>
    </sheetView>
  </sheetViews>
  <sheetFormatPr defaultRowHeight="15" x14ac:dyDescent="0.25"/>
  <cols>
    <col min="1" max="1" width="6.7109375" style="134" customWidth="1"/>
    <col min="2" max="2" width="3.85546875" style="134" customWidth="1"/>
    <col min="3" max="3" width="14.7109375" style="134" customWidth="1"/>
    <col min="4" max="4" width="32.7109375" style="134" customWidth="1"/>
    <col min="5" max="7" width="3.28515625" style="116" customWidth="1"/>
    <col min="8" max="8" width="4.140625" style="161" customWidth="1"/>
    <col min="9" max="9" width="3.7109375" style="161" hidden="1" customWidth="1"/>
    <col min="10" max="10" width="12" style="161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246</v>
      </c>
      <c r="E2" s="738"/>
      <c r="F2" s="738"/>
      <c r="G2" s="738"/>
      <c r="H2" s="738"/>
      <c r="I2" s="738"/>
      <c r="J2" s="739"/>
      <c r="K2" s="136"/>
    </row>
    <row r="3" spans="1:12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2" x14ac:dyDescent="0.25">
      <c r="A6" s="21" t="s">
        <v>2</v>
      </c>
      <c r="B6" s="606" t="s">
        <v>1</v>
      </c>
      <c r="C6" s="607"/>
      <c r="D6" s="608"/>
      <c r="E6" s="567">
        <v>2096.15</v>
      </c>
      <c r="F6" s="568"/>
      <c r="G6" s="568"/>
      <c r="H6" s="568"/>
      <c r="I6" s="568"/>
      <c r="J6" s="568"/>
      <c r="K6" s="136"/>
    </row>
    <row r="7" spans="1:12" x14ac:dyDescent="0.25">
      <c r="A7" s="21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36"/>
    </row>
    <row r="8" spans="1:12" x14ac:dyDescent="0.25">
      <c r="A8" s="21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36"/>
    </row>
    <row r="9" spans="1:12" x14ac:dyDescent="0.25">
      <c r="A9" s="21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36"/>
    </row>
    <row r="10" spans="1:12" x14ac:dyDescent="0.25">
      <c r="A10" s="21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36"/>
    </row>
    <row r="11" spans="1:12" ht="32.25" customHeight="1" thickBot="1" x14ac:dyDescent="0.3">
      <c r="A11" s="120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36"/>
    </row>
    <row r="12" spans="1:12" ht="15.75" thickBot="1" x14ac:dyDescent="0.3">
      <c r="A12" s="458" t="s">
        <v>401</v>
      </c>
      <c r="B12" s="459"/>
      <c r="C12" s="459"/>
      <c r="D12" s="460"/>
      <c r="E12" s="547">
        <f>SUM(E6:J11)</f>
        <v>2096.15</v>
      </c>
      <c r="F12" s="485"/>
      <c r="G12" s="485"/>
      <c r="H12" s="485"/>
      <c r="I12" s="485"/>
      <c r="J12" s="486"/>
      <c r="K12" s="136"/>
    </row>
    <row r="13" spans="1:12" ht="24.75" customHeight="1" x14ac:dyDescent="0.25">
      <c r="A13" s="551" t="s">
        <v>29</v>
      </c>
      <c r="B13" s="552"/>
      <c r="C13" s="552"/>
      <c r="D13" s="553"/>
      <c r="E13" s="548">
        <f>E12*E30</f>
        <v>771.3832000000001</v>
      </c>
      <c r="F13" s="549"/>
      <c r="G13" s="549"/>
      <c r="H13" s="549"/>
      <c r="I13" s="549"/>
      <c r="J13" s="550"/>
      <c r="K13" s="136"/>
    </row>
    <row r="14" spans="1:12" ht="9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345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x14ac:dyDescent="0.25">
      <c r="A17" s="21" t="s">
        <v>2</v>
      </c>
      <c r="B17" s="482" t="s">
        <v>125</v>
      </c>
      <c r="C17" s="521"/>
      <c r="D17" s="483"/>
      <c r="E17" s="322">
        <v>8.3299999999999999E-2</v>
      </c>
      <c r="F17" s="323"/>
      <c r="G17" s="324"/>
      <c r="H17" s="450">
        <f>E17*E12</f>
        <v>174.609295</v>
      </c>
      <c r="I17" s="450"/>
      <c r="J17" s="450"/>
      <c r="K17" s="136"/>
    </row>
    <row r="18" spans="1:11" x14ac:dyDescent="0.25">
      <c r="A18" s="21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253.63415000000001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428.24344500000001</v>
      </c>
      <c r="I19" s="525"/>
      <c r="J19" s="525"/>
      <c r="K19" s="136"/>
    </row>
    <row r="20" spans="1:11" ht="33" customHeight="1" thickBot="1" x14ac:dyDescent="0.3">
      <c r="A20" s="21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163.91893000000002</v>
      </c>
      <c r="I20" s="291"/>
      <c r="J20" s="292"/>
      <c r="K20" s="136"/>
    </row>
    <row r="21" spans="1:11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504.87868900000007</v>
      </c>
      <c r="I22" s="450"/>
      <c r="J22" s="450"/>
      <c r="K22" s="136"/>
    </row>
    <row r="23" spans="1:11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63.109836125000008</v>
      </c>
      <c r="I23" s="450"/>
      <c r="J23" s="450"/>
      <c r="K23" s="136"/>
    </row>
    <row r="24" spans="1:11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75.731803350000007</v>
      </c>
      <c r="I24" s="450"/>
      <c r="J24" s="450"/>
      <c r="K24" s="136"/>
    </row>
    <row r="25" spans="1:11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37.865901675000003</v>
      </c>
      <c r="I25" s="450"/>
      <c r="J25" s="450"/>
      <c r="K25" s="136"/>
    </row>
    <row r="26" spans="1:11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25.243934450000001</v>
      </c>
      <c r="I26" s="450"/>
      <c r="J26" s="450"/>
      <c r="K26" s="136"/>
    </row>
    <row r="27" spans="1:11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15.146360670000002</v>
      </c>
      <c r="I27" s="450"/>
      <c r="J27" s="450"/>
      <c r="K27" s="136"/>
    </row>
    <row r="28" spans="1:11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5.0487868900000006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201.95147560000001</v>
      </c>
      <c r="I29" s="450"/>
      <c r="J29" s="450"/>
      <c r="K29" s="136"/>
    </row>
    <row r="30" spans="1:11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928.97678776000009</v>
      </c>
      <c r="I30" s="592"/>
      <c r="J30" s="592"/>
      <c r="K30" s="136"/>
    </row>
    <row r="31" spans="1:11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1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f>(3.9*2*25.5)-6%*E6</f>
        <v>73.131</v>
      </c>
      <c r="I32" s="450"/>
      <c r="J32" s="450"/>
      <c r="K32" s="136"/>
    </row>
    <row r="33" spans="1:11" x14ac:dyDescent="0.25">
      <c r="A33" s="482" t="s">
        <v>7</v>
      </c>
      <c r="B33" s="483"/>
      <c r="C33" s="482" t="s">
        <v>47</v>
      </c>
      <c r="D33" s="483"/>
      <c r="E33" s="497"/>
      <c r="F33" s="497"/>
      <c r="G33" s="497"/>
      <c r="H33" s="450">
        <f>21.63*25.5-20%</f>
        <v>551.3649999999999</v>
      </c>
      <c r="I33" s="450"/>
      <c r="J33" s="450"/>
      <c r="K33" s="136"/>
    </row>
    <row r="34" spans="1:11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36"/>
    </row>
    <row r="35" spans="1:11" x14ac:dyDescent="0.25">
      <c r="A35" s="482" t="s">
        <v>9</v>
      </c>
      <c r="B35" s="483"/>
      <c r="C35" s="478" t="s">
        <v>149</v>
      </c>
      <c r="D35" s="479"/>
      <c r="E35" s="497"/>
      <c r="F35" s="497"/>
      <c r="G35" s="497"/>
      <c r="H35" s="450">
        <v>25.95</v>
      </c>
      <c r="I35" s="450"/>
      <c r="J35" s="450"/>
      <c r="K35" s="136"/>
    </row>
    <row r="36" spans="1:11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687.01599999999996</v>
      </c>
      <c r="I36" s="451"/>
      <c r="J36" s="451"/>
      <c r="K36" s="136"/>
    </row>
    <row r="37" spans="1:11" ht="15.75" thickBot="1" x14ac:dyDescent="0.3">
      <c r="A37" s="458" t="s">
        <v>72</v>
      </c>
      <c r="B37" s="459"/>
      <c r="C37" s="459"/>
      <c r="D37" s="460"/>
      <c r="E37" s="587">
        <f>H19+H30+H36</f>
        <v>2044.2362327599999</v>
      </c>
      <c r="F37" s="498"/>
      <c r="G37" s="498"/>
      <c r="H37" s="498"/>
      <c r="I37" s="498"/>
      <c r="J37" s="499"/>
      <c r="K37" s="136"/>
    </row>
    <row r="38" spans="1:11" ht="9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</row>
    <row r="39" spans="1:11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1" x14ac:dyDescent="0.25">
      <c r="A40" s="452" t="s">
        <v>2</v>
      </c>
      <c r="B40" s="453"/>
      <c r="C40" s="452" t="s">
        <v>51</v>
      </c>
      <c r="D40" s="453"/>
      <c r="E40" s="128"/>
      <c r="F40" s="129"/>
      <c r="G40" s="130"/>
      <c r="H40" s="456">
        <f>E12/12*5%</f>
        <v>8.7339583333333337</v>
      </c>
      <c r="I40" s="457"/>
      <c r="J40" s="453"/>
      <c r="K40" s="136"/>
    </row>
    <row r="41" spans="1:11" x14ac:dyDescent="0.25">
      <c r="A41" s="452" t="s">
        <v>7</v>
      </c>
      <c r="B41" s="453"/>
      <c r="C41" s="452" t="s">
        <v>52</v>
      </c>
      <c r="D41" s="453"/>
      <c r="E41" s="128"/>
      <c r="F41" s="129"/>
      <c r="G41" s="130"/>
      <c r="H41" s="456">
        <f>H40*8%</f>
        <v>0.69871666666666676</v>
      </c>
      <c r="I41" s="457"/>
      <c r="J41" s="453"/>
      <c r="K41" s="136"/>
    </row>
    <row r="42" spans="1:11" ht="30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481" t="s">
        <v>9</v>
      </c>
      <c r="B43" s="481"/>
      <c r="C43" s="482" t="s">
        <v>54</v>
      </c>
      <c r="D43" s="483"/>
      <c r="E43" s="497"/>
      <c r="F43" s="497"/>
      <c r="G43" s="497"/>
      <c r="H43" s="450">
        <f>E12/30/12*7*100%</f>
        <v>40.758472222222224</v>
      </c>
      <c r="I43" s="450"/>
      <c r="J43" s="450"/>
      <c r="K43" s="136"/>
    </row>
    <row r="44" spans="1:11" ht="29.25" customHeight="1" x14ac:dyDescent="0.25">
      <c r="A44" s="481" t="s">
        <v>10</v>
      </c>
      <c r="B44" s="481"/>
      <c r="C44" s="478" t="s">
        <v>93</v>
      </c>
      <c r="D44" s="479"/>
      <c r="E44" s="497"/>
      <c r="F44" s="497"/>
      <c r="G44" s="497"/>
      <c r="H44" s="450">
        <f>H43*39.8%</f>
        <v>16.221871944444445</v>
      </c>
      <c r="I44" s="450"/>
      <c r="J44" s="450"/>
      <c r="K44" s="136"/>
    </row>
    <row r="45" spans="1:11" ht="27" customHeight="1" thickBot="1" x14ac:dyDescent="0.3">
      <c r="A45" s="473" t="s">
        <v>11</v>
      </c>
      <c r="B45" s="474"/>
      <c r="C45" s="475" t="s">
        <v>53</v>
      </c>
      <c r="D45" s="476"/>
      <c r="E45" s="836"/>
      <c r="F45" s="837"/>
      <c r="G45" s="838"/>
      <c r="H45" s="470">
        <f>E12*5%</f>
        <v>104.8075</v>
      </c>
      <c r="I45" s="471"/>
      <c r="J45" s="472"/>
      <c r="K45" s="136"/>
    </row>
    <row r="46" spans="1:11" ht="15.75" thickBot="1" x14ac:dyDescent="0.3">
      <c r="A46" s="570" t="s">
        <v>318</v>
      </c>
      <c r="B46" s="571"/>
      <c r="C46" s="571"/>
      <c r="D46" s="571"/>
      <c r="E46" s="571"/>
      <c r="F46" s="571"/>
      <c r="G46" s="572"/>
      <c r="H46" s="547">
        <f>SUM(H40:J45)</f>
        <v>171.22051916666669</v>
      </c>
      <c r="I46" s="485"/>
      <c r="J46" s="486"/>
      <c r="K46" s="136"/>
    </row>
    <row r="47" spans="1:11" ht="9" customHeight="1" thickBot="1" x14ac:dyDescent="0.3">
      <c r="E47" s="131"/>
      <c r="F47" s="131"/>
      <c r="G47" s="131"/>
      <c r="K47" s="136"/>
    </row>
    <row r="48" spans="1:11" ht="33" customHeight="1" thickBot="1" x14ac:dyDescent="0.3">
      <c r="A48" s="494" t="s">
        <v>358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452" t="s">
        <v>2</v>
      </c>
      <c r="B49" s="453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36"/>
    </row>
    <row r="50" spans="1:11" x14ac:dyDescent="0.25">
      <c r="A50" s="452" t="s">
        <v>7</v>
      </c>
      <c r="B50" s="453"/>
      <c r="C50" s="452" t="s">
        <v>57</v>
      </c>
      <c r="D50" s="453"/>
      <c r="E50" s="128"/>
      <c r="F50" s="129"/>
      <c r="G50" s="130"/>
      <c r="H50" s="456">
        <f>E12/30/12</f>
        <v>5.8226388888888891</v>
      </c>
      <c r="I50" s="457"/>
      <c r="J50" s="453"/>
      <c r="K50" s="136"/>
    </row>
    <row r="51" spans="1:11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0.43669791666666669</v>
      </c>
      <c r="I51" s="450"/>
      <c r="J51" s="450"/>
      <c r="K51" s="136"/>
    </row>
    <row r="52" spans="1:11" ht="27.75" customHeight="1" x14ac:dyDescent="0.25">
      <c r="A52" s="481" t="s">
        <v>9</v>
      </c>
      <c r="B52" s="481"/>
      <c r="C52" s="284" t="s">
        <v>59</v>
      </c>
      <c r="D52" s="286"/>
      <c r="E52" s="497"/>
      <c r="F52" s="497"/>
      <c r="G52" s="497"/>
      <c r="H52" s="450">
        <f>E12/30/12*15*8%</f>
        <v>6.987166666666667</v>
      </c>
      <c r="I52" s="450"/>
      <c r="J52" s="450"/>
      <c r="K52" s="136"/>
    </row>
    <row r="53" spans="1:11" x14ac:dyDescent="0.25">
      <c r="A53" s="481" t="s">
        <v>10</v>
      </c>
      <c r="B53" s="481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481" t="s">
        <v>11</v>
      </c>
      <c r="B54" s="481"/>
      <c r="C54" s="478" t="s">
        <v>61</v>
      </c>
      <c r="D54" s="479"/>
      <c r="E54" s="497"/>
      <c r="F54" s="497"/>
      <c r="G54" s="497"/>
      <c r="H54" s="450">
        <f>E12/30/12*5*40%</f>
        <v>11.645277777777778</v>
      </c>
      <c r="I54" s="450"/>
      <c r="J54" s="450"/>
      <c r="K54" s="136"/>
    </row>
    <row r="55" spans="1:11" ht="29.25" customHeight="1" x14ac:dyDescent="0.25">
      <c r="A55" s="481" t="s">
        <v>39</v>
      </c>
      <c r="B55" s="481"/>
      <c r="C55" s="478" t="s">
        <v>62</v>
      </c>
      <c r="D55" s="479"/>
      <c r="E55" s="497"/>
      <c r="F55" s="497"/>
      <c r="G55" s="497"/>
      <c r="H55" s="450">
        <f>SUM(H49:J54)*39.8%</f>
        <v>9.9086147991666653</v>
      </c>
      <c r="I55" s="450"/>
      <c r="J55" s="450"/>
      <c r="K55" s="136"/>
    </row>
    <row r="56" spans="1:11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34.804631882499997</v>
      </c>
      <c r="I56" s="592"/>
      <c r="J56" s="592"/>
      <c r="K56" s="136"/>
    </row>
    <row r="57" spans="1:11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1" ht="30.75" customHeight="1" x14ac:dyDescent="0.25">
      <c r="A58" s="452" t="s">
        <v>2</v>
      </c>
      <c r="B58" s="453"/>
      <c r="C58" s="454" t="s">
        <v>64</v>
      </c>
      <c r="D58" s="455"/>
      <c r="E58" s="128"/>
      <c r="F58" s="129"/>
      <c r="G58" s="130"/>
      <c r="H58" s="456">
        <f>((((E12+(E12/3))*0.3333)/12)*2%)</f>
        <v>1.5525484333333333</v>
      </c>
      <c r="I58" s="457"/>
      <c r="J58" s="453"/>
      <c r="K58" s="136"/>
    </row>
    <row r="59" spans="1:11" ht="43.5" customHeight="1" x14ac:dyDescent="0.25">
      <c r="A59" s="452" t="s">
        <v>7</v>
      </c>
      <c r="B59" s="453"/>
      <c r="C59" s="454" t="s">
        <v>65</v>
      </c>
      <c r="D59" s="455"/>
      <c r="E59" s="128"/>
      <c r="F59" s="129"/>
      <c r="G59" s="130"/>
      <c r="H59" s="456">
        <f>H58*39.8%</f>
        <v>0.61791427646666663</v>
      </c>
      <c r="I59" s="457"/>
      <c r="J59" s="453"/>
      <c r="K59" s="136"/>
    </row>
    <row r="60" spans="1:11" ht="43.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6.0190562480706005</v>
      </c>
      <c r="I60" s="450"/>
      <c r="J60" s="450"/>
      <c r="K60" s="136"/>
    </row>
    <row r="61" spans="1:11" x14ac:dyDescent="0.25">
      <c r="A61" s="481" t="s">
        <v>9</v>
      </c>
      <c r="B61" s="481"/>
      <c r="C61" s="482" t="s">
        <v>67</v>
      </c>
      <c r="D61" s="483"/>
      <c r="E61" s="497"/>
      <c r="F61" s="497"/>
      <c r="G61" s="497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8.1895189578706002</v>
      </c>
      <c r="I62" s="592"/>
      <c r="J62" s="592"/>
      <c r="K62" s="136"/>
    </row>
    <row r="63" spans="1:11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1" ht="32.25" customHeight="1" x14ac:dyDescent="0.25">
      <c r="A64" s="452" t="s">
        <v>2</v>
      </c>
      <c r="B64" s="453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36"/>
    </row>
    <row r="65" spans="1:11" ht="33" customHeight="1" x14ac:dyDescent="0.25">
      <c r="A65" s="452" t="s">
        <v>7</v>
      </c>
      <c r="B65" s="453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1" ht="15.75" thickBot="1" x14ac:dyDescent="0.3">
      <c r="A67" s="458" t="s">
        <v>71</v>
      </c>
      <c r="B67" s="459"/>
      <c r="C67" s="459"/>
      <c r="D67" s="460"/>
      <c r="E67" s="587">
        <f>H66+H62+H56</f>
        <v>42.994276130062602</v>
      </c>
      <c r="F67" s="498"/>
      <c r="G67" s="498"/>
      <c r="H67" s="498"/>
      <c r="I67" s="498"/>
      <c r="J67" s="499"/>
      <c r="K67" s="136"/>
    </row>
    <row r="68" spans="1:11" ht="10.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36"/>
    </row>
    <row r="69" spans="1:11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1" x14ac:dyDescent="0.25">
      <c r="A70" s="452" t="s">
        <v>2</v>
      </c>
      <c r="B70" s="453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36"/>
    </row>
    <row r="71" spans="1:11" x14ac:dyDescent="0.25">
      <c r="A71" s="452" t="s">
        <v>7</v>
      </c>
      <c r="B71" s="453"/>
      <c r="C71" s="452" t="s">
        <v>75</v>
      </c>
      <c r="D71" s="453"/>
      <c r="E71" s="128"/>
      <c r="F71" s="129"/>
      <c r="G71" s="130"/>
      <c r="H71" s="456">
        <v>5.56</v>
      </c>
      <c r="I71" s="457"/>
      <c r="J71" s="453"/>
      <c r="K71" s="136"/>
    </row>
    <row r="72" spans="1:11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477" t="s">
        <v>9</v>
      </c>
      <c r="B73" s="477"/>
      <c r="C73" s="473" t="s">
        <v>28</v>
      </c>
      <c r="D73" s="474"/>
      <c r="E73" s="842"/>
      <c r="F73" s="842"/>
      <c r="G73" s="842"/>
      <c r="H73" s="449">
        <f>E31/30/12*15*8%</f>
        <v>0</v>
      </c>
      <c r="I73" s="449"/>
      <c r="J73" s="449"/>
      <c r="K73" s="136"/>
    </row>
    <row r="74" spans="1:11" ht="15.75" thickBot="1" x14ac:dyDescent="0.3">
      <c r="A74" s="570" t="s">
        <v>320</v>
      </c>
      <c r="B74" s="571"/>
      <c r="C74" s="571"/>
      <c r="D74" s="571"/>
      <c r="E74" s="571"/>
      <c r="F74" s="571"/>
      <c r="G74" s="572"/>
      <c r="H74" s="547">
        <f>SUM(H70:J73)</f>
        <v>248.31</v>
      </c>
      <c r="I74" s="485"/>
      <c r="J74" s="486"/>
      <c r="K74" s="136"/>
    </row>
    <row r="75" spans="1:11" ht="9.75" customHeight="1" thickBot="1" x14ac:dyDescent="0.3">
      <c r="E75" s="131"/>
      <c r="F75" s="131"/>
      <c r="G75" s="131"/>
      <c r="K75" s="136"/>
    </row>
    <row r="76" spans="1:11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1" x14ac:dyDescent="0.25">
      <c r="A77" s="452" t="s">
        <v>2</v>
      </c>
      <c r="B77" s="453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322.20377196397106</v>
      </c>
      <c r="I77" s="457"/>
      <c r="J77" s="453"/>
      <c r="K77" s="136"/>
    </row>
    <row r="78" spans="1:11" x14ac:dyDescent="0.25">
      <c r="A78" s="452" t="s">
        <v>7</v>
      </c>
      <c r="B78" s="453"/>
      <c r="C78" s="452" t="s">
        <v>12</v>
      </c>
      <c r="D78" s="453"/>
      <c r="E78" s="843">
        <v>7.5775276633744088E-2</v>
      </c>
      <c r="F78" s="840"/>
      <c r="G78" s="841"/>
      <c r="H78" s="456">
        <f>E78*(H74+E67+H46+E37+E12)</f>
        <v>348.78685647151008</v>
      </c>
      <c r="I78" s="457"/>
      <c r="J78" s="453"/>
      <c r="K78" s="136"/>
    </row>
    <row r="79" spans="1:11" ht="15" customHeight="1" x14ac:dyDescent="0.25">
      <c r="A79" s="318" t="s">
        <v>8</v>
      </c>
      <c r="B79" s="319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5367.8262717862726</v>
      </c>
      <c r="I79" s="450"/>
      <c r="J79" s="450"/>
      <c r="K79" s="136"/>
    </row>
    <row r="80" spans="1:11" ht="15" customHeight="1" x14ac:dyDescent="0.25">
      <c r="A80" s="481" t="s">
        <v>9</v>
      </c>
      <c r="B80" s="481"/>
      <c r="C80" s="482" t="s">
        <v>79</v>
      </c>
      <c r="D80" s="483"/>
      <c r="E80" s="497">
        <v>1.6500000000000001E-2</v>
      </c>
      <c r="F80" s="497"/>
      <c r="G80" s="497"/>
      <c r="H80" s="450">
        <f>E80*J88</f>
        <v>53.111850000000004</v>
      </c>
      <c r="I80" s="450"/>
      <c r="J80" s="450"/>
      <c r="K80" s="136"/>
    </row>
    <row r="81" spans="1:11" ht="15" customHeight="1" x14ac:dyDescent="0.25">
      <c r="A81" s="481" t="s">
        <v>9</v>
      </c>
      <c r="B81" s="481"/>
      <c r="C81" s="482" t="s">
        <v>80</v>
      </c>
      <c r="D81" s="483"/>
      <c r="E81" s="497">
        <v>7.5999999999999998E-2</v>
      </c>
      <c r="F81" s="497"/>
      <c r="G81" s="497"/>
      <c r="H81" s="450">
        <f>E81*J88</f>
        <v>244.63640000000001</v>
      </c>
      <c r="I81" s="450"/>
      <c r="J81" s="450"/>
      <c r="K81" s="136"/>
    </row>
    <row r="82" spans="1:11" x14ac:dyDescent="0.25">
      <c r="A82" s="481" t="s">
        <v>10</v>
      </c>
      <c r="B82" s="481"/>
      <c r="C82" s="482" t="s">
        <v>81</v>
      </c>
      <c r="D82" s="483"/>
      <c r="E82" s="497"/>
      <c r="F82" s="497"/>
      <c r="G82" s="497"/>
      <c r="H82" s="450"/>
      <c r="I82" s="450"/>
      <c r="J82" s="450"/>
      <c r="K82" s="136"/>
    </row>
    <row r="83" spans="1:11" ht="15.75" thickBot="1" x14ac:dyDescent="0.3">
      <c r="A83" s="477" t="s">
        <v>11</v>
      </c>
      <c r="B83" s="477"/>
      <c r="C83" s="473" t="s">
        <v>110</v>
      </c>
      <c r="D83" s="474"/>
      <c r="E83" s="842">
        <v>0.05</v>
      </c>
      <c r="F83" s="842"/>
      <c r="G83" s="842"/>
      <c r="H83" s="449">
        <f>E83*J88</f>
        <v>160.94500000000002</v>
      </c>
      <c r="I83" s="449"/>
      <c r="J83" s="449"/>
      <c r="K83" s="136"/>
    </row>
    <row r="84" spans="1:11" ht="14.25" customHeight="1" thickBot="1" x14ac:dyDescent="0.3">
      <c r="A84" s="570" t="s">
        <v>321</v>
      </c>
      <c r="B84" s="571"/>
      <c r="C84" s="571"/>
      <c r="D84" s="571"/>
      <c r="E84" s="571"/>
      <c r="F84" s="571"/>
      <c r="G84" s="572"/>
      <c r="H84" s="547">
        <f>H77+H78+H80+H81+H83</f>
        <v>1129.6838784354811</v>
      </c>
      <c r="I84" s="485"/>
      <c r="J84" s="486"/>
      <c r="K84" s="136"/>
    </row>
    <row r="85" spans="1:11" ht="11.25" customHeight="1" thickBot="1" x14ac:dyDescent="0.3">
      <c r="E85" s="131"/>
      <c r="F85" s="131"/>
      <c r="G85" s="131"/>
      <c r="K85" s="136"/>
    </row>
    <row r="86" spans="1:11" ht="14.25" customHeight="1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534">
        <f>SUM(H84+H74+E67+H46+E37+E12)</f>
        <v>5732.5949064922097</v>
      </c>
      <c r="I86" s="535"/>
      <c r="J86" s="536"/>
    </row>
    <row r="88" spans="1:11" x14ac:dyDescent="0.25">
      <c r="J88" s="174">
        <v>3218.9</v>
      </c>
    </row>
    <row r="89" spans="1:11" ht="15.75" thickBot="1" x14ac:dyDescent="0.3">
      <c r="D89" s="175"/>
    </row>
  </sheetData>
  <mergeCells count="230"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12:D12"/>
    <mergeCell ref="E12:J12"/>
    <mergeCell ref="A13:D13"/>
    <mergeCell ref="E13:J13"/>
    <mergeCell ref="A14:J14"/>
    <mergeCell ref="A15:J15"/>
    <mergeCell ref="B9:D9"/>
    <mergeCell ref="E9:J9"/>
    <mergeCell ref="B10:D10"/>
    <mergeCell ref="E10:J10"/>
    <mergeCell ref="B11:D11"/>
    <mergeCell ref="E11:J11"/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/>
  </sheetPr>
  <dimension ref="A1:M89"/>
  <sheetViews>
    <sheetView workbookViewId="0">
      <selection activeCell="L8" sqref="L8"/>
    </sheetView>
  </sheetViews>
  <sheetFormatPr defaultRowHeight="15" x14ac:dyDescent="0.25"/>
  <cols>
    <col min="1" max="1" width="6.7109375" style="146" customWidth="1"/>
    <col min="2" max="2" width="3.42578125" style="146" customWidth="1"/>
    <col min="3" max="3" width="15.28515625" style="134" customWidth="1"/>
    <col min="4" max="4" width="32.7109375" style="134" customWidth="1"/>
    <col min="5" max="5" width="3.140625" style="116" customWidth="1"/>
    <col min="6" max="6" width="2" style="116" customWidth="1"/>
    <col min="7" max="7" width="4" style="116" customWidth="1"/>
    <col min="8" max="8" width="4.140625" style="161" customWidth="1"/>
    <col min="9" max="9" width="3.7109375" style="161" hidden="1" customWidth="1"/>
    <col min="10" max="10" width="12" style="161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249</v>
      </c>
      <c r="E2" s="738"/>
      <c r="F2" s="738"/>
      <c r="G2" s="738"/>
      <c r="H2" s="738"/>
      <c r="I2" s="738"/>
      <c r="J2" s="739"/>
      <c r="K2" s="136"/>
    </row>
    <row r="3" spans="1:12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2" x14ac:dyDescent="0.25">
      <c r="A6" s="123" t="s">
        <v>2</v>
      </c>
      <c r="B6" s="606" t="s">
        <v>1</v>
      </c>
      <c r="C6" s="607"/>
      <c r="D6" s="608"/>
      <c r="E6" s="567">
        <v>1614.14</v>
      </c>
      <c r="F6" s="568"/>
      <c r="G6" s="568"/>
      <c r="H6" s="568"/>
      <c r="I6" s="568"/>
      <c r="J6" s="568"/>
      <c r="K6" s="136"/>
    </row>
    <row r="7" spans="1:12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36"/>
    </row>
    <row r="8" spans="1:12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36"/>
    </row>
    <row r="9" spans="1:12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36"/>
    </row>
    <row r="10" spans="1:12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36"/>
    </row>
    <row r="11" spans="1:12" ht="28.5" customHeight="1" thickBot="1" x14ac:dyDescent="0.3">
      <c r="A11" s="122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36"/>
    </row>
    <row r="12" spans="1:12" ht="15.75" thickBot="1" x14ac:dyDescent="0.3">
      <c r="A12" s="458" t="s">
        <v>319</v>
      </c>
      <c r="B12" s="459"/>
      <c r="C12" s="459"/>
      <c r="D12" s="460"/>
      <c r="E12" s="547">
        <f>SUM(E6:J11)</f>
        <v>1614.14</v>
      </c>
      <c r="F12" s="485"/>
      <c r="G12" s="485"/>
      <c r="H12" s="485"/>
      <c r="I12" s="485"/>
      <c r="J12" s="486"/>
      <c r="K12" s="136"/>
    </row>
    <row r="13" spans="1:12" ht="28.5" customHeight="1" x14ac:dyDescent="0.25">
      <c r="A13" s="551" t="s">
        <v>29</v>
      </c>
      <c r="B13" s="552"/>
      <c r="C13" s="552"/>
      <c r="D13" s="553"/>
      <c r="E13" s="548">
        <f>E12*E30</f>
        <v>594.00352000000009</v>
      </c>
      <c r="F13" s="549"/>
      <c r="G13" s="549"/>
      <c r="H13" s="549"/>
      <c r="I13" s="549"/>
      <c r="J13" s="550"/>
      <c r="K13" s="136"/>
    </row>
    <row r="14" spans="1:12" ht="10.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28.5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3" x14ac:dyDescent="0.25">
      <c r="A17" s="123" t="s">
        <v>2</v>
      </c>
      <c r="B17" s="482" t="s">
        <v>125</v>
      </c>
      <c r="C17" s="521"/>
      <c r="D17" s="483"/>
      <c r="E17" s="322">
        <v>8.3299999999999999E-2</v>
      </c>
      <c r="F17" s="323"/>
      <c r="G17" s="324"/>
      <c r="H17" s="450">
        <f>E17*E12</f>
        <v>134.45786200000001</v>
      </c>
      <c r="I17" s="450"/>
      <c r="J17" s="450"/>
      <c r="K17" s="136"/>
    </row>
    <row r="18" spans="1:13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195.31094000000002</v>
      </c>
      <c r="I18" s="450"/>
      <c r="J18" s="450"/>
      <c r="K18" s="136"/>
    </row>
    <row r="19" spans="1:13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329.76880200000005</v>
      </c>
      <c r="I19" s="525"/>
      <c r="J19" s="525"/>
      <c r="K19" s="136"/>
    </row>
    <row r="20" spans="1:13" ht="33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126.22574800000001</v>
      </c>
      <c r="I20" s="291"/>
      <c r="J20" s="292"/>
      <c r="K20" s="136"/>
    </row>
    <row r="21" spans="1:13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3" x14ac:dyDescent="0.25">
      <c r="A22" s="532" t="s">
        <v>2</v>
      </c>
      <c r="B22" s="533"/>
      <c r="C22" s="510" t="s">
        <v>3</v>
      </c>
      <c r="D22" s="511"/>
      <c r="E22" s="603">
        <v>0.2</v>
      </c>
      <c r="F22" s="603"/>
      <c r="G22" s="603"/>
      <c r="H22" s="450">
        <f>E22*(E12+H19)</f>
        <v>388.78176040000005</v>
      </c>
      <c r="I22" s="450"/>
      <c r="J22" s="450"/>
      <c r="K22" s="136"/>
    </row>
    <row r="23" spans="1:13" x14ac:dyDescent="0.25">
      <c r="A23" s="532" t="s">
        <v>7</v>
      </c>
      <c r="B23" s="53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48.597720050000007</v>
      </c>
      <c r="I23" s="450"/>
      <c r="J23" s="450"/>
      <c r="K23" s="136"/>
    </row>
    <row r="24" spans="1:13" x14ac:dyDescent="0.25">
      <c r="A24" s="532" t="s">
        <v>8</v>
      </c>
      <c r="B24" s="533"/>
      <c r="C24" s="512" t="s">
        <v>42</v>
      </c>
      <c r="D24" s="513"/>
      <c r="E24" s="514">
        <v>0.03</v>
      </c>
      <c r="F24" s="514"/>
      <c r="G24" s="514"/>
      <c r="H24" s="450">
        <f>E24*(E12+H19)</f>
        <v>58.317264059999999</v>
      </c>
      <c r="I24" s="450"/>
      <c r="J24" s="450"/>
      <c r="K24" s="136"/>
    </row>
    <row r="25" spans="1:13" x14ac:dyDescent="0.25">
      <c r="A25" s="532" t="s">
        <v>9</v>
      </c>
      <c r="B25" s="53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29.15863203</v>
      </c>
      <c r="I25" s="450"/>
      <c r="J25" s="450"/>
      <c r="K25" s="136"/>
      <c r="M25" s="116"/>
    </row>
    <row r="26" spans="1:13" x14ac:dyDescent="0.25">
      <c r="A26" s="532" t="s">
        <v>10</v>
      </c>
      <c r="B26" s="533"/>
      <c r="C26" s="482" t="s">
        <v>44</v>
      </c>
      <c r="D26" s="483"/>
      <c r="E26" s="497">
        <v>0.01</v>
      </c>
      <c r="F26" s="497"/>
      <c r="G26" s="497"/>
      <c r="H26" s="450">
        <f>E26*(E12+H19)</f>
        <v>19.439088020000003</v>
      </c>
      <c r="I26" s="450"/>
      <c r="J26" s="450"/>
      <c r="K26" s="136"/>
    </row>
    <row r="27" spans="1:13" x14ac:dyDescent="0.25">
      <c r="A27" s="532" t="s">
        <v>11</v>
      </c>
      <c r="B27" s="53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11.663452812000001</v>
      </c>
      <c r="I27" s="450"/>
      <c r="J27" s="450"/>
      <c r="K27" s="136"/>
    </row>
    <row r="28" spans="1:13" x14ac:dyDescent="0.25">
      <c r="A28" s="532" t="s">
        <v>39</v>
      </c>
      <c r="B28" s="533"/>
      <c r="C28" s="482" t="s">
        <v>5</v>
      </c>
      <c r="D28" s="483"/>
      <c r="E28" s="497">
        <v>2E-3</v>
      </c>
      <c r="F28" s="497"/>
      <c r="G28" s="497"/>
      <c r="H28" s="450">
        <f>E28*(E12+H19)</f>
        <v>3.8878176040000003</v>
      </c>
      <c r="I28" s="450"/>
      <c r="J28" s="450"/>
      <c r="K28" s="136"/>
    </row>
    <row r="29" spans="1:13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155.51270416000003</v>
      </c>
      <c r="I29" s="450"/>
      <c r="J29" s="450"/>
      <c r="K29" s="136"/>
    </row>
    <row r="30" spans="1:13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715.35843913600002</v>
      </c>
      <c r="I30" s="592"/>
      <c r="J30" s="592"/>
      <c r="K30" s="136"/>
    </row>
    <row r="31" spans="1:13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3" x14ac:dyDescent="0.25">
      <c r="A32" s="532" t="s">
        <v>2</v>
      </c>
      <c r="B32" s="533"/>
      <c r="C32" s="510" t="s">
        <v>46</v>
      </c>
      <c r="D32" s="511"/>
      <c r="E32" s="603"/>
      <c r="F32" s="603"/>
      <c r="G32" s="603"/>
      <c r="H32" s="450">
        <f>(3.9*2*25.5)-6%*E6</f>
        <v>102.05160000000001</v>
      </c>
      <c r="I32" s="450"/>
      <c r="J32" s="450"/>
      <c r="K32" s="136"/>
    </row>
    <row r="33" spans="1:11" x14ac:dyDescent="0.25">
      <c r="A33" s="532" t="s">
        <v>7</v>
      </c>
      <c r="B33" s="533"/>
      <c r="C33" s="482" t="s">
        <v>47</v>
      </c>
      <c r="D33" s="483"/>
      <c r="E33" s="497"/>
      <c r="F33" s="497"/>
      <c r="G33" s="497"/>
      <c r="H33" s="450">
        <f>21.63*25.5-20%</f>
        <v>551.3649999999999</v>
      </c>
      <c r="I33" s="450"/>
      <c r="J33" s="450"/>
      <c r="K33" s="136"/>
    </row>
    <row r="34" spans="1:11" x14ac:dyDescent="0.25">
      <c r="A34" s="532" t="s">
        <v>8</v>
      </c>
      <c r="B34" s="533"/>
      <c r="C34" s="284" t="s">
        <v>49</v>
      </c>
      <c r="D34" s="286"/>
      <c r="E34" s="497"/>
      <c r="F34" s="497"/>
      <c r="G34" s="497"/>
      <c r="H34" s="450">
        <v>36.57</v>
      </c>
      <c r="I34" s="450"/>
      <c r="J34" s="450"/>
      <c r="K34" s="136"/>
    </row>
    <row r="35" spans="1:11" x14ac:dyDescent="0.25">
      <c r="A35" s="532" t="s">
        <v>9</v>
      </c>
      <c r="B35" s="533"/>
      <c r="C35" s="478" t="s">
        <v>149</v>
      </c>
      <c r="D35" s="479"/>
      <c r="E35" s="497"/>
      <c r="F35" s="497"/>
      <c r="G35" s="497"/>
      <c r="H35" s="450">
        <v>25.95</v>
      </c>
      <c r="I35" s="450"/>
      <c r="J35" s="450"/>
      <c r="K35" s="136"/>
    </row>
    <row r="36" spans="1:11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715.9366</v>
      </c>
      <c r="I36" s="451"/>
      <c r="J36" s="451"/>
      <c r="K36" s="136"/>
    </row>
    <row r="37" spans="1:11" ht="15.75" thickBot="1" x14ac:dyDescent="0.3">
      <c r="A37" s="458" t="s">
        <v>72</v>
      </c>
      <c r="B37" s="459"/>
      <c r="C37" s="459"/>
      <c r="D37" s="460"/>
      <c r="E37" s="587">
        <f>H19+H30+H36</f>
        <v>1761.0638411360001</v>
      </c>
      <c r="F37" s="498"/>
      <c r="G37" s="498"/>
      <c r="H37" s="498"/>
      <c r="I37" s="498"/>
      <c r="J37" s="499"/>
      <c r="K37" s="136"/>
    </row>
    <row r="38" spans="1:11" ht="10.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</row>
    <row r="39" spans="1:11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1" x14ac:dyDescent="0.25">
      <c r="A40" s="954" t="s">
        <v>2</v>
      </c>
      <c r="B40" s="955"/>
      <c r="C40" s="452" t="s">
        <v>51</v>
      </c>
      <c r="D40" s="453"/>
      <c r="E40" s="128"/>
      <c r="F40" s="129"/>
      <c r="G40" s="130"/>
      <c r="H40" s="456">
        <f>E12/12*5%</f>
        <v>6.7255833333333346</v>
      </c>
      <c r="I40" s="457"/>
      <c r="J40" s="453"/>
      <c r="K40" s="136"/>
    </row>
    <row r="41" spans="1:11" x14ac:dyDescent="0.25">
      <c r="A41" s="954" t="s">
        <v>7</v>
      </c>
      <c r="B41" s="955"/>
      <c r="C41" s="452" t="s">
        <v>52</v>
      </c>
      <c r="D41" s="453"/>
      <c r="E41" s="128"/>
      <c r="F41" s="129"/>
      <c r="G41" s="130"/>
      <c r="H41" s="456">
        <f>H40*8%</f>
        <v>0.53804666666666678</v>
      </c>
      <c r="I41" s="457"/>
      <c r="J41" s="453"/>
      <c r="K41" s="136"/>
    </row>
    <row r="42" spans="1:11" ht="30" customHeight="1" x14ac:dyDescent="0.25">
      <c r="A42" s="954" t="s">
        <v>8</v>
      </c>
      <c r="B42" s="955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956" t="s">
        <v>9</v>
      </c>
      <c r="B43" s="956"/>
      <c r="C43" s="482" t="s">
        <v>54</v>
      </c>
      <c r="D43" s="483"/>
      <c r="E43" s="497"/>
      <c r="F43" s="497"/>
      <c r="G43" s="497"/>
      <c r="H43" s="450">
        <f>E12/30/12*7*100%</f>
        <v>31.386055555555554</v>
      </c>
      <c r="I43" s="450"/>
      <c r="J43" s="450"/>
      <c r="K43" s="136"/>
    </row>
    <row r="44" spans="1:11" ht="28.5" customHeight="1" x14ac:dyDescent="0.25">
      <c r="A44" s="956" t="s">
        <v>10</v>
      </c>
      <c r="B44" s="956"/>
      <c r="C44" s="478" t="s">
        <v>93</v>
      </c>
      <c r="D44" s="479"/>
      <c r="E44" s="497"/>
      <c r="F44" s="497"/>
      <c r="G44" s="497"/>
      <c r="H44" s="450">
        <f>H43*39.8%</f>
        <v>12.49165011111111</v>
      </c>
      <c r="I44" s="450"/>
      <c r="J44" s="450"/>
      <c r="K44" s="136"/>
    </row>
    <row r="45" spans="1:11" ht="27" customHeight="1" thickBot="1" x14ac:dyDescent="0.3">
      <c r="A45" s="958" t="s">
        <v>11</v>
      </c>
      <c r="B45" s="959"/>
      <c r="C45" s="475" t="s">
        <v>53</v>
      </c>
      <c r="D45" s="476"/>
      <c r="E45" s="836"/>
      <c r="F45" s="837"/>
      <c r="G45" s="838"/>
      <c r="H45" s="470">
        <f>E12*5%</f>
        <v>80.707000000000008</v>
      </c>
      <c r="I45" s="471"/>
      <c r="J45" s="472"/>
      <c r="K45" s="136"/>
    </row>
    <row r="46" spans="1:11" ht="15.75" thickBot="1" x14ac:dyDescent="0.3">
      <c r="A46" s="570" t="s">
        <v>71</v>
      </c>
      <c r="B46" s="571"/>
      <c r="C46" s="571"/>
      <c r="D46" s="571"/>
      <c r="E46" s="571"/>
      <c r="F46" s="571"/>
      <c r="G46" s="572"/>
      <c r="H46" s="547">
        <f>SUM(H40:J45)</f>
        <v>131.84833566666669</v>
      </c>
      <c r="I46" s="485"/>
      <c r="J46" s="486"/>
      <c r="K46" s="136"/>
    </row>
    <row r="47" spans="1:11" ht="9" customHeight="1" thickBot="1" x14ac:dyDescent="0.3">
      <c r="E47" s="131"/>
      <c r="F47" s="131"/>
      <c r="G47" s="131"/>
      <c r="K47" s="136"/>
    </row>
    <row r="48" spans="1:11" ht="33" customHeight="1" thickBot="1" x14ac:dyDescent="0.3">
      <c r="A48" s="494" t="s">
        <v>332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954" t="s">
        <v>2</v>
      </c>
      <c r="B49" s="955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36"/>
    </row>
    <row r="50" spans="1:11" x14ac:dyDescent="0.25">
      <c r="A50" s="954" t="s">
        <v>7</v>
      </c>
      <c r="B50" s="955"/>
      <c r="C50" s="452" t="s">
        <v>57</v>
      </c>
      <c r="D50" s="453"/>
      <c r="E50" s="128"/>
      <c r="F50" s="129"/>
      <c r="G50" s="130"/>
      <c r="H50" s="456">
        <f>E12/30/12</f>
        <v>4.4837222222222222</v>
      </c>
      <c r="I50" s="457"/>
      <c r="J50" s="453"/>
      <c r="K50" s="136"/>
    </row>
    <row r="51" spans="1:11" x14ac:dyDescent="0.25">
      <c r="A51" s="954" t="s">
        <v>8</v>
      </c>
      <c r="B51" s="955"/>
      <c r="C51" s="320" t="s">
        <v>58</v>
      </c>
      <c r="D51" s="321"/>
      <c r="E51" s="322"/>
      <c r="F51" s="323"/>
      <c r="G51" s="324"/>
      <c r="H51" s="450">
        <f>E12/30/12*5*1.5%</f>
        <v>0.33627916666666668</v>
      </c>
      <c r="I51" s="450"/>
      <c r="J51" s="450"/>
      <c r="K51" s="136"/>
    </row>
    <row r="52" spans="1:11" ht="27" customHeight="1" x14ac:dyDescent="0.25">
      <c r="A52" s="956" t="s">
        <v>9</v>
      </c>
      <c r="B52" s="956"/>
      <c r="C52" s="284" t="s">
        <v>59</v>
      </c>
      <c r="D52" s="286"/>
      <c r="E52" s="497"/>
      <c r="F52" s="497"/>
      <c r="G52" s="497"/>
      <c r="H52" s="450">
        <f>E12/30/12*15*8%</f>
        <v>5.3804666666666661</v>
      </c>
      <c r="I52" s="450"/>
      <c r="J52" s="450"/>
      <c r="K52" s="136"/>
    </row>
    <row r="53" spans="1:11" x14ac:dyDescent="0.25">
      <c r="A53" s="956" t="s">
        <v>10</v>
      </c>
      <c r="B53" s="956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956" t="s">
        <v>11</v>
      </c>
      <c r="B54" s="956"/>
      <c r="C54" s="478" t="s">
        <v>61</v>
      </c>
      <c r="D54" s="479"/>
      <c r="E54" s="497"/>
      <c r="F54" s="497"/>
      <c r="G54" s="497"/>
      <c r="H54" s="450">
        <f>E12/30/12*5*40%</f>
        <v>8.9674444444444443</v>
      </c>
      <c r="I54" s="450"/>
      <c r="J54" s="450"/>
      <c r="K54" s="136"/>
    </row>
    <row r="55" spans="1:11" ht="30.75" customHeight="1" x14ac:dyDescent="0.25">
      <c r="A55" s="956" t="s">
        <v>39</v>
      </c>
      <c r="B55" s="956"/>
      <c r="C55" s="478" t="s">
        <v>62</v>
      </c>
      <c r="D55" s="479"/>
      <c r="E55" s="497"/>
      <c r="F55" s="497"/>
      <c r="G55" s="497"/>
      <c r="H55" s="450">
        <f>SUM(H49:J54)*39.8%</f>
        <v>7.6305150366666661</v>
      </c>
      <c r="I55" s="450"/>
      <c r="J55" s="450"/>
      <c r="K55" s="136"/>
    </row>
    <row r="56" spans="1:11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26.802663369999998</v>
      </c>
      <c r="I56" s="592"/>
      <c r="J56" s="592"/>
      <c r="K56" s="136"/>
    </row>
    <row r="57" spans="1:11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1" ht="30.75" customHeight="1" x14ac:dyDescent="0.25">
      <c r="A58" s="954" t="s">
        <v>2</v>
      </c>
      <c r="B58" s="955"/>
      <c r="C58" s="454" t="s">
        <v>64</v>
      </c>
      <c r="D58" s="455"/>
      <c r="E58" s="128"/>
      <c r="F58" s="129"/>
      <c r="G58" s="130"/>
      <c r="H58" s="456">
        <f>((((E12+(E12/3))*0.3333)/12)*2%)</f>
        <v>1.1955396933333335</v>
      </c>
      <c r="I58" s="457"/>
      <c r="J58" s="453"/>
      <c r="K58" s="136"/>
    </row>
    <row r="59" spans="1:11" ht="44.25" customHeight="1" x14ac:dyDescent="0.25">
      <c r="A59" s="954" t="s">
        <v>7</v>
      </c>
      <c r="B59" s="955"/>
      <c r="C59" s="454" t="s">
        <v>65</v>
      </c>
      <c r="D59" s="455"/>
      <c r="E59" s="128"/>
      <c r="F59" s="129"/>
      <c r="G59" s="130"/>
      <c r="H59" s="456">
        <f>H58*39.8%</f>
        <v>0.47582479794666671</v>
      </c>
      <c r="I59" s="457"/>
      <c r="J59" s="453"/>
      <c r="K59" s="136"/>
    </row>
    <row r="60" spans="1:11" ht="43.5" customHeight="1" x14ac:dyDescent="0.25">
      <c r="A60" s="954" t="s">
        <v>8</v>
      </c>
      <c r="B60" s="955"/>
      <c r="C60" s="454" t="s">
        <v>66</v>
      </c>
      <c r="D60" s="455"/>
      <c r="E60" s="322"/>
      <c r="F60" s="323"/>
      <c r="G60" s="324"/>
      <c r="H60" s="450">
        <f>(((E12+H17)*0.333)*2%)*39.8%</f>
        <v>4.6349733808461604</v>
      </c>
      <c r="I60" s="450"/>
      <c r="J60" s="450"/>
      <c r="K60" s="136"/>
    </row>
    <row r="61" spans="1:11" x14ac:dyDescent="0.25">
      <c r="A61" s="956" t="s">
        <v>9</v>
      </c>
      <c r="B61" s="956"/>
      <c r="C61" s="482" t="s">
        <v>67</v>
      </c>
      <c r="D61" s="483"/>
      <c r="E61" s="497"/>
      <c r="F61" s="497"/>
      <c r="G61" s="497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6.3063378721261607</v>
      </c>
      <c r="I62" s="592"/>
      <c r="J62" s="592"/>
      <c r="K62" s="136"/>
    </row>
    <row r="63" spans="1:11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1" ht="27" customHeight="1" x14ac:dyDescent="0.25">
      <c r="A64" s="954" t="s">
        <v>2</v>
      </c>
      <c r="B64" s="955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36"/>
    </row>
    <row r="65" spans="1:11" ht="29.25" customHeight="1" x14ac:dyDescent="0.25">
      <c r="A65" s="954" t="s">
        <v>7</v>
      </c>
      <c r="B65" s="955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1" ht="15.75" thickBot="1" x14ac:dyDescent="0.3">
      <c r="A67" s="458" t="s">
        <v>71</v>
      </c>
      <c r="B67" s="459"/>
      <c r="C67" s="459"/>
      <c r="D67" s="460"/>
      <c r="E67" s="587">
        <f>H66+H62+H56</f>
        <v>33.109126531818156</v>
      </c>
      <c r="F67" s="498"/>
      <c r="G67" s="498"/>
      <c r="H67" s="498"/>
      <c r="I67" s="498"/>
      <c r="J67" s="499"/>
      <c r="K67" s="136"/>
    </row>
    <row r="68" spans="1:11" ht="10.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36"/>
    </row>
    <row r="69" spans="1:11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1" x14ac:dyDescent="0.25">
      <c r="A70" s="954" t="s">
        <v>2</v>
      </c>
      <c r="B70" s="955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36"/>
    </row>
    <row r="71" spans="1:11" x14ac:dyDescent="0.25">
      <c r="A71" s="954" t="s">
        <v>7</v>
      </c>
      <c r="B71" s="955"/>
      <c r="C71" s="452" t="s">
        <v>75</v>
      </c>
      <c r="D71" s="453"/>
      <c r="E71" s="128"/>
      <c r="F71" s="129"/>
      <c r="G71" s="130"/>
      <c r="H71" s="456">
        <v>5.56</v>
      </c>
      <c r="I71" s="457"/>
      <c r="J71" s="453"/>
      <c r="K71" s="136"/>
    </row>
    <row r="72" spans="1:11" x14ac:dyDescent="0.25">
      <c r="A72" s="954" t="s">
        <v>8</v>
      </c>
      <c r="B72" s="955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957" t="s">
        <v>9</v>
      </c>
      <c r="B73" s="957"/>
      <c r="C73" s="473" t="s">
        <v>28</v>
      </c>
      <c r="D73" s="474"/>
      <c r="E73" s="842"/>
      <c r="F73" s="842"/>
      <c r="G73" s="842"/>
      <c r="H73" s="449">
        <f>E31/30/12*15*8%</f>
        <v>0</v>
      </c>
      <c r="I73" s="449"/>
      <c r="J73" s="449"/>
      <c r="K73" s="136"/>
    </row>
    <row r="74" spans="1:11" ht="15.75" thickBot="1" x14ac:dyDescent="0.3">
      <c r="A74" s="570" t="s">
        <v>320</v>
      </c>
      <c r="B74" s="571"/>
      <c r="C74" s="571"/>
      <c r="D74" s="571"/>
      <c r="E74" s="571"/>
      <c r="F74" s="571"/>
      <c r="G74" s="572"/>
      <c r="H74" s="547">
        <f>SUM(H70:J73)</f>
        <v>248.31</v>
      </c>
      <c r="I74" s="485"/>
      <c r="J74" s="486"/>
      <c r="K74" s="136"/>
    </row>
    <row r="75" spans="1:11" ht="10.5" customHeight="1" thickBot="1" x14ac:dyDescent="0.3">
      <c r="E75" s="131"/>
      <c r="F75" s="131"/>
      <c r="G75" s="131"/>
      <c r="K75" s="136"/>
    </row>
    <row r="76" spans="1:11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1" x14ac:dyDescent="0.25">
      <c r="A77" s="954" t="s">
        <v>2</v>
      </c>
      <c r="B77" s="955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265.19299123341398</v>
      </c>
      <c r="I77" s="457"/>
      <c r="J77" s="453"/>
      <c r="K77" s="136"/>
    </row>
    <row r="78" spans="1:11" x14ac:dyDescent="0.25">
      <c r="A78" s="954" t="s">
        <v>7</v>
      </c>
      <c r="B78" s="955"/>
      <c r="C78" s="452" t="s">
        <v>12</v>
      </c>
      <c r="D78" s="453"/>
      <c r="E78" s="843">
        <v>7.5775276633744088E-2</v>
      </c>
      <c r="F78" s="840"/>
      <c r="G78" s="841"/>
      <c r="H78" s="456">
        <f>E78*(H74+E67+H46+E37+E12)</f>
        <v>287.07246102917162</v>
      </c>
      <c r="I78" s="457"/>
      <c r="J78" s="453"/>
      <c r="K78" s="136"/>
    </row>
    <row r="79" spans="1:11" ht="15" customHeight="1" x14ac:dyDescent="0.25">
      <c r="A79" s="954" t="s">
        <v>8</v>
      </c>
      <c r="B79" s="955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4418.0423362501278</v>
      </c>
      <c r="I79" s="450"/>
      <c r="J79" s="450"/>
      <c r="K79" s="136"/>
    </row>
    <row r="80" spans="1:11" ht="15" customHeight="1" x14ac:dyDescent="0.25">
      <c r="A80" s="956" t="s">
        <v>9</v>
      </c>
      <c r="B80" s="956"/>
      <c r="C80" s="482" t="s">
        <v>79</v>
      </c>
      <c r="D80" s="483"/>
      <c r="E80" s="497">
        <v>1.6500000000000001E-2</v>
      </c>
      <c r="F80" s="497"/>
      <c r="G80" s="497"/>
      <c r="H80" s="450">
        <f>E80*J88</f>
        <v>53.111850000000004</v>
      </c>
      <c r="I80" s="450"/>
      <c r="J80" s="450"/>
      <c r="K80" s="136"/>
    </row>
    <row r="81" spans="1:11" ht="15" customHeight="1" x14ac:dyDescent="0.25">
      <c r="A81" s="956" t="s">
        <v>9</v>
      </c>
      <c r="B81" s="956"/>
      <c r="C81" s="482" t="s">
        <v>80</v>
      </c>
      <c r="D81" s="483"/>
      <c r="E81" s="497">
        <v>7.5999999999999998E-2</v>
      </c>
      <c r="F81" s="497"/>
      <c r="G81" s="497"/>
      <c r="H81" s="450">
        <f>E81*J88</f>
        <v>244.63640000000001</v>
      </c>
      <c r="I81" s="450"/>
      <c r="J81" s="450"/>
      <c r="K81" s="136"/>
    </row>
    <row r="82" spans="1:11" x14ac:dyDescent="0.25">
      <c r="A82" s="956" t="s">
        <v>10</v>
      </c>
      <c r="B82" s="956"/>
      <c r="C82" s="482" t="s">
        <v>81</v>
      </c>
      <c r="D82" s="483"/>
      <c r="E82" s="497"/>
      <c r="F82" s="497"/>
      <c r="G82" s="497"/>
      <c r="H82" s="450"/>
      <c r="I82" s="450"/>
      <c r="J82" s="450"/>
      <c r="K82" s="136"/>
    </row>
    <row r="83" spans="1:11" ht="15.75" thickBot="1" x14ac:dyDescent="0.3">
      <c r="A83" s="957" t="s">
        <v>11</v>
      </c>
      <c r="B83" s="957"/>
      <c r="C83" s="473" t="s">
        <v>110</v>
      </c>
      <c r="D83" s="474"/>
      <c r="E83" s="842">
        <v>0.05</v>
      </c>
      <c r="F83" s="842"/>
      <c r="G83" s="842"/>
      <c r="H83" s="449">
        <f>E83*J88</f>
        <v>160.94500000000002</v>
      </c>
      <c r="I83" s="449"/>
      <c r="J83" s="449"/>
      <c r="K83" s="136"/>
    </row>
    <row r="84" spans="1:11" ht="14.25" customHeight="1" thickBot="1" x14ac:dyDescent="0.3">
      <c r="A84" s="570" t="s">
        <v>321</v>
      </c>
      <c r="B84" s="571"/>
      <c r="C84" s="571"/>
      <c r="D84" s="571"/>
      <c r="E84" s="571"/>
      <c r="F84" s="571"/>
      <c r="G84" s="572"/>
      <c r="H84" s="547">
        <f>H77+H78+H80+H81+H83</f>
        <v>1010.9587022625856</v>
      </c>
      <c r="I84" s="485"/>
      <c r="J84" s="486"/>
      <c r="K84" s="136"/>
    </row>
    <row r="85" spans="1:11" ht="10.5" customHeight="1" thickBot="1" x14ac:dyDescent="0.3">
      <c r="E85" s="131"/>
      <c r="F85" s="131"/>
      <c r="G85" s="131"/>
      <c r="K85" s="136"/>
    </row>
    <row r="86" spans="1:11" ht="14.25" customHeight="1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534">
        <f>SUM(H84+H74+E67+H46+E37+E12)</f>
        <v>4799.4300055970707</v>
      </c>
      <c r="I86" s="535"/>
      <c r="J86" s="536"/>
    </row>
    <row r="88" spans="1:11" x14ac:dyDescent="0.25">
      <c r="J88" s="174">
        <v>3218.9</v>
      </c>
    </row>
    <row r="89" spans="1:11" ht="15.75" thickBot="1" x14ac:dyDescent="0.3">
      <c r="D89" s="175"/>
    </row>
  </sheetData>
  <mergeCells count="230"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12:D12"/>
    <mergeCell ref="E12:J12"/>
    <mergeCell ref="A13:D13"/>
    <mergeCell ref="E13:J13"/>
    <mergeCell ref="A14:J14"/>
    <mergeCell ref="A15:J15"/>
    <mergeCell ref="B9:D9"/>
    <mergeCell ref="E9:J9"/>
    <mergeCell ref="B10:D10"/>
    <mergeCell ref="E10:J10"/>
    <mergeCell ref="B11:D11"/>
    <mergeCell ref="E11:J11"/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L89"/>
  <sheetViews>
    <sheetView workbookViewId="0">
      <selection activeCell="L47" sqref="L47"/>
    </sheetView>
  </sheetViews>
  <sheetFormatPr defaultRowHeight="15" x14ac:dyDescent="0.25"/>
  <cols>
    <col min="1" max="1" width="6.7109375" style="146" customWidth="1"/>
    <col min="2" max="2" width="3.42578125" style="146" customWidth="1"/>
    <col min="3" max="3" width="15.85546875" style="134" customWidth="1"/>
    <col min="4" max="4" width="33.42578125" style="134" customWidth="1"/>
    <col min="5" max="7" width="3.140625" style="116" customWidth="1"/>
    <col min="8" max="8" width="4.140625" style="161" customWidth="1"/>
    <col min="9" max="9" width="3.7109375" style="161" hidden="1" customWidth="1"/>
    <col min="10" max="10" width="11" style="161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251</v>
      </c>
      <c r="E2" s="738"/>
      <c r="F2" s="738"/>
      <c r="G2" s="738"/>
      <c r="H2" s="738"/>
      <c r="I2" s="738"/>
      <c r="J2" s="739"/>
      <c r="K2" s="136"/>
    </row>
    <row r="3" spans="1:12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2" x14ac:dyDescent="0.25">
      <c r="A6" s="123" t="s">
        <v>2</v>
      </c>
      <c r="B6" s="606" t="s">
        <v>1</v>
      </c>
      <c r="C6" s="607"/>
      <c r="D6" s="608"/>
      <c r="E6" s="567">
        <v>2990.48</v>
      </c>
      <c r="F6" s="568"/>
      <c r="G6" s="568"/>
      <c r="H6" s="568"/>
      <c r="I6" s="568"/>
      <c r="J6" s="568"/>
      <c r="K6" s="136"/>
    </row>
    <row r="7" spans="1:12" x14ac:dyDescent="0.25">
      <c r="A7" s="123" t="s">
        <v>7</v>
      </c>
      <c r="B7" s="606" t="s">
        <v>25</v>
      </c>
      <c r="C7" s="607"/>
      <c r="D7" s="608"/>
      <c r="E7" s="541"/>
      <c r="F7" s="542"/>
      <c r="G7" s="542"/>
      <c r="H7" s="542"/>
      <c r="I7" s="542"/>
      <c r="J7" s="543"/>
      <c r="K7" s="136"/>
    </row>
    <row r="8" spans="1:12" x14ac:dyDescent="0.25">
      <c r="A8" s="123" t="s">
        <v>8</v>
      </c>
      <c r="B8" s="606" t="s">
        <v>26</v>
      </c>
      <c r="C8" s="607"/>
      <c r="D8" s="608"/>
      <c r="E8" s="541"/>
      <c r="F8" s="542"/>
      <c r="G8" s="542"/>
      <c r="H8" s="542"/>
      <c r="I8" s="542"/>
      <c r="J8" s="543"/>
      <c r="K8" s="136"/>
    </row>
    <row r="9" spans="1:12" x14ac:dyDescent="0.25">
      <c r="A9" s="123" t="s">
        <v>9</v>
      </c>
      <c r="B9" s="606" t="s">
        <v>27</v>
      </c>
      <c r="C9" s="607"/>
      <c r="D9" s="608"/>
      <c r="E9" s="541"/>
      <c r="F9" s="542"/>
      <c r="G9" s="542"/>
      <c r="H9" s="542"/>
      <c r="I9" s="542"/>
      <c r="J9" s="543"/>
      <c r="K9" s="136"/>
    </row>
    <row r="10" spans="1:12" x14ac:dyDescent="0.25">
      <c r="A10" s="123" t="s">
        <v>10</v>
      </c>
      <c r="B10" s="606" t="s">
        <v>28</v>
      </c>
      <c r="C10" s="607"/>
      <c r="D10" s="608"/>
      <c r="E10" s="480"/>
      <c r="F10" s="480"/>
      <c r="G10" s="480"/>
      <c r="H10" s="480"/>
      <c r="I10" s="480"/>
      <c r="J10" s="480"/>
      <c r="K10" s="136"/>
    </row>
    <row r="11" spans="1:12" ht="29.25" customHeight="1" thickBot="1" x14ac:dyDescent="0.3">
      <c r="A11" s="122" t="s">
        <v>11</v>
      </c>
      <c r="B11" s="609" t="s">
        <v>92</v>
      </c>
      <c r="C11" s="610"/>
      <c r="D11" s="611"/>
      <c r="E11" s="477"/>
      <c r="F11" s="477"/>
      <c r="G11" s="477"/>
      <c r="H11" s="477"/>
      <c r="I11" s="477"/>
      <c r="J11" s="477"/>
      <c r="K11" s="136"/>
    </row>
    <row r="12" spans="1:12" ht="15.75" thickBot="1" x14ac:dyDescent="0.3">
      <c r="A12" s="458" t="s">
        <v>319</v>
      </c>
      <c r="B12" s="459"/>
      <c r="C12" s="459"/>
      <c r="D12" s="460"/>
      <c r="E12" s="547">
        <f>SUM(E6:J11)</f>
        <v>2990.48</v>
      </c>
      <c r="F12" s="485"/>
      <c r="G12" s="485"/>
      <c r="H12" s="485"/>
      <c r="I12" s="485"/>
      <c r="J12" s="486"/>
      <c r="K12" s="136"/>
    </row>
    <row r="13" spans="1:12" ht="29.25" customHeight="1" x14ac:dyDescent="0.25">
      <c r="A13" s="551" t="s">
        <v>29</v>
      </c>
      <c r="B13" s="552"/>
      <c r="C13" s="552"/>
      <c r="D13" s="553"/>
      <c r="E13" s="548">
        <f>E12*E30</f>
        <v>1100.4966400000001</v>
      </c>
      <c r="F13" s="549"/>
      <c r="G13" s="549"/>
      <c r="H13" s="549"/>
      <c r="I13" s="549"/>
      <c r="J13" s="550"/>
      <c r="K13" s="136"/>
    </row>
    <row r="14" spans="1:12" ht="10.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324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x14ac:dyDescent="0.25">
      <c r="A17" s="123" t="s">
        <v>2</v>
      </c>
      <c r="B17" s="482" t="s">
        <v>125</v>
      </c>
      <c r="C17" s="521"/>
      <c r="D17" s="483"/>
      <c r="E17" s="322">
        <v>8.3299999999999999E-2</v>
      </c>
      <c r="F17" s="323"/>
      <c r="G17" s="324"/>
      <c r="H17" s="450">
        <f>E17*E12</f>
        <v>249.10698400000001</v>
      </c>
      <c r="I17" s="450"/>
      <c r="J17" s="450"/>
      <c r="K17" s="136"/>
    </row>
    <row r="18" spans="1:11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361.84807999999998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610.95506399999999</v>
      </c>
      <c r="I19" s="525"/>
      <c r="J19" s="525"/>
      <c r="K19" s="136"/>
    </row>
    <row r="20" spans="1:11" ht="29.25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233.85553600000003</v>
      </c>
      <c r="I20" s="291"/>
      <c r="J20" s="292"/>
      <c r="K20" s="136"/>
    </row>
    <row r="21" spans="1:11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532" t="s">
        <v>2</v>
      </c>
      <c r="B22" s="533"/>
      <c r="C22" s="510" t="s">
        <v>3</v>
      </c>
      <c r="D22" s="511"/>
      <c r="E22" s="603">
        <v>0.2</v>
      </c>
      <c r="F22" s="603"/>
      <c r="G22" s="603"/>
      <c r="H22" s="450">
        <f>E22*(E12+H19)</f>
        <v>720.28701280000007</v>
      </c>
      <c r="I22" s="450"/>
      <c r="J22" s="450"/>
      <c r="K22" s="136"/>
    </row>
    <row r="23" spans="1:11" x14ac:dyDescent="0.25">
      <c r="A23" s="532" t="s">
        <v>7</v>
      </c>
      <c r="B23" s="53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90.035876600000009</v>
      </c>
      <c r="I23" s="450"/>
      <c r="J23" s="450"/>
      <c r="K23" s="136"/>
    </row>
    <row r="24" spans="1:11" x14ac:dyDescent="0.25">
      <c r="A24" s="532" t="s">
        <v>8</v>
      </c>
      <c r="B24" s="533"/>
      <c r="C24" s="512" t="s">
        <v>42</v>
      </c>
      <c r="D24" s="513"/>
      <c r="E24" s="514">
        <v>0.03</v>
      </c>
      <c r="F24" s="514"/>
      <c r="G24" s="514"/>
      <c r="H24" s="450">
        <f>E24*(E12+H19)</f>
        <v>108.04305192</v>
      </c>
      <c r="I24" s="450"/>
      <c r="J24" s="450"/>
      <c r="K24" s="136"/>
    </row>
    <row r="25" spans="1:11" x14ac:dyDescent="0.25">
      <c r="A25" s="532" t="s">
        <v>9</v>
      </c>
      <c r="B25" s="53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54.021525959999998</v>
      </c>
      <c r="I25" s="450"/>
      <c r="J25" s="450"/>
      <c r="K25" s="136"/>
    </row>
    <row r="26" spans="1:11" x14ac:dyDescent="0.25">
      <c r="A26" s="532" t="s">
        <v>10</v>
      </c>
      <c r="B26" s="533"/>
      <c r="C26" s="482" t="s">
        <v>44</v>
      </c>
      <c r="D26" s="483"/>
      <c r="E26" s="497">
        <v>0.01</v>
      </c>
      <c r="F26" s="497"/>
      <c r="G26" s="497"/>
      <c r="H26" s="450">
        <f>E26*(E12+H19)</f>
        <v>36.014350640000004</v>
      </c>
      <c r="I26" s="450"/>
      <c r="J26" s="450"/>
      <c r="K26" s="136"/>
    </row>
    <row r="27" spans="1:11" x14ac:dyDescent="0.25">
      <c r="A27" s="532" t="s">
        <v>11</v>
      </c>
      <c r="B27" s="53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21.608610384000002</v>
      </c>
      <c r="I27" s="450"/>
      <c r="J27" s="450"/>
      <c r="K27" s="136"/>
    </row>
    <row r="28" spans="1:11" x14ac:dyDescent="0.25">
      <c r="A28" s="532" t="s">
        <v>39</v>
      </c>
      <c r="B28" s="533"/>
      <c r="C28" s="482" t="s">
        <v>5</v>
      </c>
      <c r="D28" s="483"/>
      <c r="E28" s="497">
        <v>2E-3</v>
      </c>
      <c r="F28" s="497"/>
      <c r="G28" s="497"/>
      <c r="H28" s="450">
        <f>E28*(E12+H19)</f>
        <v>7.2028701280000007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288.11480512000003</v>
      </c>
      <c r="I29" s="450"/>
      <c r="J29" s="450"/>
      <c r="K29" s="136"/>
    </row>
    <row r="30" spans="1:11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1325.3281035520001</v>
      </c>
      <c r="I30" s="592"/>
      <c r="J30" s="592"/>
      <c r="K30" s="136"/>
    </row>
    <row r="31" spans="1:11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1" x14ac:dyDescent="0.25">
      <c r="A32" s="532" t="s">
        <v>2</v>
      </c>
      <c r="B32" s="533"/>
      <c r="C32" s="510" t="s">
        <v>46</v>
      </c>
      <c r="D32" s="511"/>
      <c r="E32" s="603"/>
      <c r="F32" s="603"/>
      <c r="G32" s="603"/>
      <c r="H32" s="450">
        <f>(3.9*2*22)-6%*E6</f>
        <v>-7.8288000000000011</v>
      </c>
      <c r="I32" s="450"/>
      <c r="J32" s="450"/>
      <c r="K32" s="136"/>
    </row>
    <row r="33" spans="1:11" x14ac:dyDescent="0.25">
      <c r="A33" s="532" t="s">
        <v>7</v>
      </c>
      <c r="B33" s="533"/>
      <c r="C33" s="482" t="s">
        <v>47</v>
      </c>
      <c r="D33" s="483"/>
      <c r="E33" s="497"/>
      <c r="F33" s="497"/>
      <c r="G33" s="497"/>
      <c r="H33" s="450">
        <f>0</f>
        <v>0</v>
      </c>
      <c r="I33" s="450"/>
      <c r="J33" s="450"/>
      <c r="K33" s="136"/>
    </row>
    <row r="34" spans="1:11" x14ac:dyDescent="0.25">
      <c r="A34" s="532" t="s">
        <v>8</v>
      </c>
      <c r="B34" s="533"/>
      <c r="C34" s="284" t="s">
        <v>49</v>
      </c>
      <c r="D34" s="286"/>
      <c r="E34" s="497"/>
      <c r="F34" s="497"/>
      <c r="G34" s="497"/>
      <c r="H34" s="450">
        <v>0</v>
      </c>
      <c r="I34" s="450"/>
      <c r="J34" s="450"/>
      <c r="K34" s="136"/>
    </row>
    <row r="35" spans="1:11" x14ac:dyDescent="0.25">
      <c r="A35" s="532" t="s">
        <v>9</v>
      </c>
      <c r="B35" s="533"/>
      <c r="C35" s="478" t="s">
        <v>149</v>
      </c>
      <c r="D35" s="479"/>
      <c r="E35" s="497"/>
      <c r="F35" s="497"/>
      <c r="G35" s="497"/>
      <c r="H35" s="450">
        <v>25.95</v>
      </c>
      <c r="I35" s="450"/>
      <c r="J35" s="450"/>
      <c r="K35" s="136"/>
    </row>
    <row r="36" spans="1:11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18.121199999999998</v>
      </c>
      <c r="I36" s="451"/>
      <c r="J36" s="451"/>
      <c r="K36" s="136"/>
    </row>
    <row r="37" spans="1:11" ht="15.75" thickBot="1" x14ac:dyDescent="0.3">
      <c r="A37" s="458" t="s">
        <v>72</v>
      </c>
      <c r="B37" s="459"/>
      <c r="C37" s="459"/>
      <c r="D37" s="460"/>
      <c r="E37" s="587">
        <f>H19+H30+H36</f>
        <v>1954.4043675520002</v>
      </c>
      <c r="F37" s="498"/>
      <c r="G37" s="498"/>
      <c r="H37" s="498"/>
      <c r="I37" s="498"/>
      <c r="J37" s="499"/>
      <c r="K37" s="136"/>
    </row>
    <row r="38" spans="1:11" ht="10.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</row>
    <row r="39" spans="1:11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1" x14ac:dyDescent="0.25">
      <c r="A40" s="954" t="s">
        <v>2</v>
      </c>
      <c r="B40" s="955"/>
      <c r="C40" s="452" t="s">
        <v>51</v>
      </c>
      <c r="D40" s="453"/>
      <c r="E40" s="128"/>
      <c r="F40" s="129"/>
      <c r="G40" s="130"/>
      <c r="H40" s="456">
        <f>E12/12*5%</f>
        <v>12.460333333333335</v>
      </c>
      <c r="I40" s="457"/>
      <c r="J40" s="453"/>
      <c r="K40" s="136"/>
    </row>
    <row r="41" spans="1:11" x14ac:dyDescent="0.25">
      <c r="A41" s="954" t="s">
        <v>7</v>
      </c>
      <c r="B41" s="955"/>
      <c r="C41" s="452" t="s">
        <v>52</v>
      </c>
      <c r="D41" s="453"/>
      <c r="E41" s="128"/>
      <c r="F41" s="129"/>
      <c r="G41" s="130"/>
      <c r="H41" s="456">
        <f>H40*8%</f>
        <v>0.99682666666666675</v>
      </c>
      <c r="I41" s="457"/>
      <c r="J41" s="453"/>
      <c r="K41" s="136"/>
    </row>
    <row r="42" spans="1:11" ht="30" customHeight="1" x14ac:dyDescent="0.25">
      <c r="A42" s="954" t="s">
        <v>8</v>
      </c>
      <c r="B42" s="955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956" t="s">
        <v>9</v>
      </c>
      <c r="B43" s="956"/>
      <c r="C43" s="482" t="s">
        <v>54</v>
      </c>
      <c r="D43" s="483"/>
      <c r="E43" s="497"/>
      <c r="F43" s="497"/>
      <c r="G43" s="497"/>
      <c r="H43" s="450">
        <f>E12/30/12*7*100%</f>
        <v>58.148222222222216</v>
      </c>
      <c r="I43" s="450"/>
      <c r="J43" s="450"/>
      <c r="K43" s="136"/>
    </row>
    <row r="44" spans="1:11" ht="27.75" customHeight="1" x14ac:dyDescent="0.25">
      <c r="A44" s="956" t="s">
        <v>10</v>
      </c>
      <c r="B44" s="956"/>
      <c r="C44" s="478" t="s">
        <v>93</v>
      </c>
      <c r="D44" s="479"/>
      <c r="E44" s="497"/>
      <c r="F44" s="497"/>
      <c r="G44" s="497"/>
      <c r="H44" s="450">
        <f>H43*39.8%</f>
        <v>23.142992444444442</v>
      </c>
      <c r="I44" s="450"/>
      <c r="J44" s="450"/>
      <c r="K44" s="136"/>
    </row>
    <row r="45" spans="1:11" ht="30" customHeight="1" thickBot="1" x14ac:dyDescent="0.3">
      <c r="A45" s="958" t="s">
        <v>11</v>
      </c>
      <c r="B45" s="959"/>
      <c r="C45" s="475" t="s">
        <v>53</v>
      </c>
      <c r="D45" s="476"/>
      <c r="E45" s="836"/>
      <c r="F45" s="837"/>
      <c r="G45" s="838"/>
      <c r="H45" s="470">
        <f>E12*5%</f>
        <v>149.524</v>
      </c>
      <c r="I45" s="471"/>
      <c r="J45" s="472"/>
      <c r="K45" s="136"/>
    </row>
    <row r="46" spans="1:11" ht="15.75" thickBot="1" x14ac:dyDescent="0.3">
      <c r="A46" s="570" t="s">
        <v>318</v>
      </c>
      <c r="B46" s="571"/>
      <c r="C46" s="571"/>
      <c r="D46" s="571"/>
      <c r="E46" s="571"/>
      <c r="F46" s="571"/>
      <c r="G46" s="572"/>
      <c r="H46" s="547">
        <f>SUM(H40:J45)</f>
        <v>244.27237466666668</v>
      </c>
      <c r="I46" s="485"/>
      <c r="J46" s="486"/>
      <c r="K46" s="136"/>
    </row>
    <row r="47" spans="1:11" ht="10.5" customHeight="1" thickBot="1" x14ac:dyDescent="0.3">
      <c r="E47" s="131"/>
      <c r="F47" s="131"/>
      <c r="G47" s="131"/>
      <c r="K47" s="136"/>
    </row>
    <row r="48" spans="1:11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954" t="s">
        <v>2</v>
      </c>
      <c r="B49" s="955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36"/>
    </row>
    <row r="50" spans="1:11" x14ac:dyDescent="0.25">
      <c r="A50" s="954" t="s">
        <v>7</v>
      </c>
      <c r="B50" s="955"/>
      <c r="C50" s="452" t="s">
        <v>57</v>
      </c>
      <c r="D50" s="453"/>
      <c r="E50" s="128"/>
      <c r="F50" s="129"/>
      <c r="G50" s="130"/>
      <c r="H50" s="456">
        <f>E12/30/12</f>
        <v>8.3068888888888885</v>
      </c>
      <c r="I50" s="457"/>
      <c r="J50" s="453"/>
      <c r="K50" s="136"/>
    </row>
    <row r="51" spans="1:11" x14ac:dyDescent="0.25">
      <c r="A51" s="954" t="s">
        <v>8</v>
      </c>
      <c r="B51" s="955"/>
      <c r="C51" s="320" t="s">
        <v>58</v>
      </c>
      <c r="D51" s="321"/>
      <c r="E51" s="322"/>
      <c r="F51" s="323"/>
      <c r="G51" s="324"/>
      <c r="H51" s="450">
        <f>E12/30/12*5*1.5%</f>
        <v>0.62301666666666666</v>
      </c>
      <c r="I51" s="450"/>
      <c r="J51" s="450"/>
      <c r="K51" s="136"/>
    </row>
    <row r="52" spans="1:11" ht="30" customHeight="1" x14ac:dyDescent="0.25">
      <c r="A52" s="956" t="s">
        <v>9</v>
      </c>
      <c r="B52" s="956"/>
      <c r="C52" s="284" t="s">
        <v>59</v>
      </c>
      <c r="D52" s="286"/>
      <c r="E52" s="497"/>
      <c r="F52" s="497"/>
      <c r="G52" s="497"/>
      <c r="H52" s="450">
        <f>E12/30/12*15*8%</f>
        <v>9.9682666666666666</v>
      </c>
      <c r="I52" s="450"/>
      <c r="J52" s="450"/>
      <c r="K52" s="136"/>
    </row>
    <row r="53" spans="1:11" x14ac:dyDescent="0.25">
      <c r="A53" s="956" t="s">
        <v>10</v>
      </c>
      <c r="B53" s="956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956" t="s">
        <v>11</v>
      </c>
      <c r="B54" s="956"/>
      <c r="C54" s="478" t="s">
        <v>61</v>
      </c>
      <c r="D54" s="479"/>
      <c r="E54" s="497"/>
      <c r="F54" s="497"/>
      <c r="G54" s="497"/>
      <c r="H54" s="450">
        <f>E12/30/12*5*40%</f>
        <v>16.613777777777781</v>
      </c>
      <c r="I54" s="450"/>
      <c r="J54" s="450"/>
      <c r="K54" s="136"/>
    </row>
    <row r="55" spans="1:11" ht="27" customHeight="1" x14ac:dyDescent="0.25">
      <c r="A55" s="956" t="s">
        <v>39</v>
      </c>
      <c r="B55" s="956"/>
      <c r="C55" s="478" t="s">
        <v>62</v>
      </c>
      <c r="D55" s="479"/>
      <c r="E55" s="497"/>
      <c r="F55" s="497"/>
      <c r="G55" s="497"/>
      <c r="H55" s="450">
        <f>SUM(H49:J54)*39.8%</f>
        <v>14.135441961666668</v>
      </c>
      <c r="I55" s="450"/>
      <c r="J55" s="450"/>
      <c r="K55" s="136"/>
    </row>
    <row r="56" spans="1:11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49.65162779500001</v>
      </c>
      <c r="I56" s="592"/>
      <c r="J56" s="592"/>
      <c r="K56" s="136"/>
    </row>
    <row r="57" spans="1:11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1" ht="30" customHeight="1" x14ac:dyDescent="0.25">
      <c r="A58" s="954" t="s">
        <v>2</v>
      </c>
      <c r="B58" s="955"/>
      <c r="C58" s="454" t="s">
        <v>64</v>
      </c>
      <c r="D58" s="455"/>
      <c r="E58" s="128"/>
      <c r="F58" s="129"/>
      <c r="G58" s="130"/>
      <c r="H58" s="456">
        <f>((((E12+(E12/3))*0.3333)/12)*2%)</f>
        <v>2.214948853333333</v>
      </c>
      <c r="I58" s="457"/>
      <c r="J58" s="453"/>
      <c r="K58" s="136"/>
    </row>
    <row r="59" spans="1:11" ht="45" customHeight="1" x14ac:dyDescent="0.25">
      <c r="A59" s="954" t="s">
        <v>7</v>
      </c>
      <c r="B59" s="955"/>
      <c r="C59" s="454" t="s">
        <v>65</v>
      </c>
      <c r="D59" s="455"/>
      <c r="E59" s="128"/>
      <c r="F59" s="129"/>
      <c r="G59" s="130"/>
      <c r="H59" s="456">
        <f>H58*39.8%</f>
        <v>0.88154964362666643</v>
      </c>
      <c r="I59" s="457"/>
      <c r="J59" s="453"/>
      <c r="K59" s="136"/>
    </row>
    <row r="60" spans="1:11" ht="45" customHeight="1" x14ac:dyDescent="0.25">
      <c r="A60" s="954" t="s">
        <v>8</v>
      </c>
      <c r="B60" s="955"/>
      <c r="C60" s="454" t="s">
        <v>66</v>
      </c>
      <c r="D60" s="455"/>
      <c r="E60" s="322"/>
      <c r="F60" s="323"/>
      <c r="G60" s="324"/>
      <c r="H60" s="450">
        <f>(((E12+H17)*0.333)*2%)*39.8%</f>
        <v>8.5871084267491202</v>
      </c>
      <c r="I60" s="450"/>
      <c r="J60" s="450"/>
      <c r="K60" s="136"/>
    </row>
    <row r="61" spans="1:11" x14ac:dyDescent="0.25">
      <c r="A61" s="956" t="s">
        <v>9</v>
      </c>
      <c r="B61" s="956"/>
      <c r="C61" s="482" t="s">
        <v>67</v>
      </c>
      <c r="D61" s="483"/>
      <c r="E61" s="497"/>
      <c r="F61" s="497"/>
      <c r="G61" s="497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11.683606923709119</v>
      </c>
      <c r="I62" s="592"/>
      <c r="J62" s="592"/>
      <c r="K62" s="136"/>
    </row>
    <row r="63" spans="1:11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1" ht="29.25" customHeight="1" x14ac:dyDescent="0.25">
      <c r="A64" s="954" t="s">
        <v>2</v>
      </c>
      <c r="B64" s="955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36"/>
    </row>
    <row r="65" spans="1:11" ht="30" customHeight="1" x14ac:dyDescent="0.25">
      <c r="A65" s="954" t="s">
        <v>7</v>
      </c>
      <c r="B65" s="955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1" ht="15.75" thickBot="1" x14ac:dyDescent="0.3">
      <c r="A67" s="458" t="s">
        <v>71</v>
      </c>
      <c r="B67" s="459"/>
      <c r="C67" s="459"/>
      <c r="D67" s="460"/>
      <c r="E67" s="587">
        <f>H66+H62+H56</f>
        <v>61.335360008401132</v>
      </c>
      <c r="F67" s="498"/>
      <c r="G67" s="498"/>
      <c r="H67" s="498"/>
      <c r="I67" s="498"/>
      <c r="J67" s="499"/>
      <c r="K67" s="136"/>
    </row>
    <row r="68" spans="1:11" ht="10.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36"/>
    </row>
    <row r="69" spans="1:11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1" x14ac:dyDescent="0.25">
      <c r="A70" s="954" t="s">
        <v>2</v>
      </c>
      <c r="B70" s="955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36"/>
    </row>
    <row r="71" spans="1:11" x14ac:dyDescent="0.25">
      <c r="A71" s="954" t="s">
        <v>7</v>
      </c>
      <c r="B71" s="955"/>
      <c r="C71" s="452" t="s">
        <v>75</v>
      </c>
      <c r="D71" s="453"/>
      <c r="E71" s="128"/>
      <c r="F71" s="129"/>
      <c r="G71" s="130"/>
      <c r="H71" s="456">
        <v>5.56</v>
      </c>
      <c r="I71" s="457"/>
      <c r="J71" s="453"/>
      <c r="K71" s="136"/>
    </row>
    <row r="72" spans="1:11" x14ac:dyDescent="0.25">
      <c r="A72" s="954" t="s">
        <v>8</v>
      </c>
      <c r="B72" s="955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957" t="s">
        <v>9</v>
      </c>
      <c r="B73" s="957"/>
      <c r="C73" s="473" t="s">
        <v>28</v>
      </c>
      <c r="D73" s="474"/>
      <c r="E73" s="842"/>
      <c r="F73" s="842"/>
      <c r="G73" s="842"/>
      <c r="H73" s="449">
        <v>25.95</v>
      </c>
      <c r="I73" s="449"/>
      <c r="J73" s="449"/>
      <c r="K73" s="136"/>
    </row>
    <row r="74" spans="1:11" ht="15.75" thickBot="1" x14ac:dyDescent="0.3">
      <c r="A74" s="570" t="s">
        <v>320</v>
      </c>
      <c r="B74" s="571"/>
      <c r="C74" s="571"/>
      <c r="D74" s="571"/>
      <c r="E74" s="571"/>
      <c r="F74" s="571"/>
      <c r="G74" s="572"/>
      <c r="H74" s="547">
        <f>SUM(H70:J73)</f>
        <v>274.26</v>
      </c>
      <c r="I74" s="485"/>
      <c r="J74" s="486"/>
      <c r="K74" s="136"/>
    </row>
    <row r="75" spans="1:11" ht="10.5" customHeight="1" thickBot="1" x14ac:dyDescent="0.3">
      <c r="E75" s="131"/>
      <c r="F75" s="131"/>
      <c r="G75" s="131"/>
      <c r="K75" s="136"/>
    </row>
    <row r="76" spans="1:11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1" x14ac:dyDescent="0.25">
      <c r="A77" s="954" t="s">
        <v>2</v>
      </c>
      <c r="B77" s="955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386.73264715589482</v>
      </c>
      <c r="I77" s="457"/>
      <c r="J77" s="453"/>
      <c r="K77" s="136"/>
    </row>
    <row r="78" spans="1:11" x14ac:dyDescent="0.25">
      <c r="A78" s="954" t="s">
        <v>7</v>
      </c>
      <c r="B78" s="955"/>
      <c r="C78" s="452" t="s">
        <v>12</v>
      </c>
      <c r="D78" s="453"/>
      <c r="E78" s="843">
        <v>7.5775276633744088E-2</v>
      </c>
      <c r="F78" s="840"/>
      <c r="G78" s="841"/>
      <c r="H78" s="456">
        <f>E78*(H74+E67+H46+E37+E12)</f>
        <v>418.63961887911529</v>
      </c>
      <c r="I78" s="457"/>
      <c r="J78" s="453"/>
      <c r="K78" s="136"/>
    </row>
    <row r="79" spans="1:11" ht="15" customHeight="1" x14ac:dyDescent="0.25">
      <c r="A79" s="954" t="s">
        <v>8</v>
      </c>
      <c r="B79" s="955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6442.8595944338986</v>
      </c>
      <c r="I79" s="450"/>
      <c r="J79" s="450"/>
      <c r="K79" s="136"/>
    </row>
    <row r="80" spans="1:11" ht="15" customHeight="1" x14ac:dyDescent="0.25">
      <c r="A80" s="956" t="s">
        <v>9</v>
      </c>
      <c r="B80" s="956"/>
      <c r="C80" s="482" t="s">
        <v>79</v>
      </c>
      <c r="D80" s="483"/>
      <c r="E80" s="497">
        <v>1.6500000000000001E-2</v>
      </c>
      <c r="F80" s="497"/>
      <c r="G80" s="497"/>
      <c r="H80" s="450">
        <f>E80*J88</f>
        <v>53.111850000000004</v>
      </c>
      <c r="I80" s="450"/>
      <c r="J80" s="450"/>
      <c r="K80" s="136"/>
    </row>
    <row r="81" spans="1:11" ht="15" customHeight="1" x14ac:dyDescent="0.25">
      <c r="A81" s="956" t="s">
        <v>9</v>
      </c>
      <c r="B81" s="956"/>
      <c r="C81" s="482" t="s">
        <v>80</v>
      </c>
      <c r="D81" s="483"/>
      <c r="E81" s="497">
        <v>7.5999999999999998E-2</v>
      </c>
      <c r="F81" s="497"/>
      <c r="G81" s="497"/>
      <c r="H81" s="450">
        <f>E81*J88</f>
        <v>244.63640000000001</v>
      </c>
      <c r="I81" s="450"/>
      <c r="J81" s="450"/>
      <c r="K81" s="136"/>
    </row>
    <row r="82" spans="1:11" x14ac:dyDescent="0.25">
      <c r="A82" s="956" t="s">
        <v>10</v>
      </c>
      <c r="B82" s="956"/>
      <c r="C82" s="482" t="s">
        <v>81</v>
      </c>
      <c r="D82" s="483"/>
      <c r="E82" s="497"/>
      <c r="F82" s="497"/>
      <c r="G82" s="497"/>
      <c r="H82" s="450"/>
      <c r="I82" s="450"/>
      <c r="J82" s="450"/>
      <c r="K82" s="136"/>
    </row>
    <row r="83" spans="1:11" ht="15.75" thickBot="1" x14ac:dyDescent="0.3">
      <c r="A83" s="957" t="s">
        <v>11</v>
      </c>
      <c r="B83" s="957"/>
      <c r="C83" s="473" t="s">
        <v>110</v>
      </c>
      <c r="D83" s="474"/>
      <c r="E83" s="842">
        <v>0.05</v>
      </c>
      <c r="F83" s="842"/>
      <c r="G83" s="842"/>
      <c r="H83" s="449">
        <f>E83*J88</f>
        <v>160.94500000000002</v>
      </c>
      <c r="I83" s="449"/>
      <c r="J83" s="449"/>
      <c r="K83" s="136"/>
    </row>
    <row r="84" spans="1:11" ht="15" customHeight="1" thickBot="1" x14ac:dyDescent="0.3">
      <c r="A84" s="570" t="s">
        <v>321</v>
      </c>
      <c r="B84" s="571"/>
      <c r="C84" s="571"/>
      <c r="D84" s="571"/>
      <c r="E84" s="571"/>
      <c r="F84" s="571"/>
      <c r="G84" s="572"/>
      <c r="H84" s="547">
        <f>H77+H78+H80+H81+H83</f>
        <v>1264.0655160350102</v>
      </c>
      <c r="I84" s="485"/>
      <c r="J84" s="486"/>
      <c r="K84" s="136"/>
    </row>
    <row r="85" spans="1:11" ht="10.5" customHeight="1" thickBot="1" x14ac:dyDescent="0.3">
      <c r="E85" s="131"/>
      <c r="F85" s="131"/>
      <c r="G85" s="131"/>
      <c r="K85" s="136"/>
    </row>
    <row r="86" spans="1:11" ht="15" customHeight="1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534">
        <f>SUM(H84+H74+E67+H46+E37+E12)</f>
        <v>6788.8176182620782</v>
      </c>
      <c r="I86" s="535"/>
      <c r="J86" s="536"/>
    </row>
    <row r="88" spans="1:11" x14ac:dyDescent="0.25">
      <c r="J88" s="174">
        <v>3218.9</v>
      </c>
    </row>
    <row r="89" spans="1:11" ht="15.75" thickBot="1" x14ac:dyDescent="0.3">
      <c r="D89" s="175"/>
    </row>
  </sheetData>
  <mergeCells count="230"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12:D12"/>
    <mergeCell ref="E12:J12"/>
    <mergeCell ref="A13:D13"/>
    <mergeCell ref="E13:J13"/>
    <mergeCell ref="A14:J14"/>
    <mergeCell ref="A15:J15"/>
    <mergeCell ref="B9:D9"/>
    <mergeCell ref="E9:J9"/>
    <mergeCell ref="B10:D10"/>
    <mergeCell ref="E10:J10"/>
    <mergeCell ref="B11:D11"/>
    <mergeCell ref="E11:J11"/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5117038483843"/>
  </sheetPr>
  <dimension ref="A1:O88"/>
  <sheetViews>
    <sheetView view="pageBreakPreview" topLeftCell="A31" zoomScale="60" zoomScaleNormal="100" workbookViewId="0">
      <selection activeCell="C80" sqref="C80:D80"/>
    </sheetView>
  </sheetViews>
  <sheetFormatPr defaultRowHeight="15" x14ac:dyDescent="0.25"/>
  <cols>
    <col min="1" max="1" width="6.7109375" style="146" customWidth="1"/>
    <col min="2" max="2" width="3.5703125" style="146" customWidth="1"/>
    <col min="3" max="3" width="10.5703125" style="134" customWidth="1"/>
    <col min="4" max="4" width="38.42578125" style="134" customWidth="1"/>
    <col min="5" max="7" width="3" style="116" customWidth="1"/>
    <col min="8" max="8" width="3.7109375" style="134" customWidth="1"/>
    <col min="9" max="9" width="1.57031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404</v>
      </c>
      <c r="E2" s="738"/>
      <c r="F2" s="738"/>
      <c r="G2" s="738"/>
      <c r="H2" s="738"/>
      <c r="I2" s="738"/>
      <c r="J2" s="739"/>
      <c r="K2" s="136"/>
    </row>
    <row r="3" spans="1:15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2133.1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/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.75" customHeight="1" thickBot="1" x14ac:dyDescent="0.3">
      <c r="A11" s="141" t="s">
        <v>11</v>
      </c>
      <c r="B11" s="609" t="s">
        <v>161</v>
      </c>
      <c r="C11" s="610"/>
      <c r="D11" s="611"/>
      <c r="E11" s="950"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47"/>
      <c r="E12" s="894">
        <f>SUM(E6:J11)</f>
        <v>2551.1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9.25" customHeight="1" x14ac:dyDescent="0.25">
      <c r="A13" s="551" t="s">
        <v>29</v>
      </c>
      <c r="B13" s="715"/>
      <c r="C13" s="715"/>
      <c r="D13" s="716"/>
      <c r="E13" s="926">
        <f>E12*E30</f>
        <v>938.80480000000011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1.2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130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212.50663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308.68309999999997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521.18972999999994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199.49602000000002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614.45794599999999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76.807243249999999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92.168691899999999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46.084345949999999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30.7228973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18.433738380000001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6.1445794600000001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245.7831784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1130.6026206400002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v>0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47"/>
      <c r="E37" s="938">
        <f>H19+H30+H36</f>
        <v>1677.7423506400003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1.2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.75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10.629583333333334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0.85036666666666683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49.604722222222215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19.742679444444441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127.55500000000001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9"/>
      <c r="H46" s="894">
        <f>SUM(H40:J45)</f>
        <v>208.38235166666666</v>
      </c>
      <c r="I46" s="895"/>
      <c r="J46" s="896"/>
      <c r="K46" s="145"/>
      <c r="L46" s="145"/>
      <c r="M46" s="145"/>
      <c r="N46" s="145"/>
      <c r="O46" s="145"/>
    </row>
    <row r="47" spans="1:15" ht="11.2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402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7.0863888888888882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0.53147916666666661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8.5036666666666658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14.172777777777776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12.058822236666664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42.357370569999993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1.8895147333333333</v>
      </c>
      <c r="I58" s="871"/>
      <c r="J58" s="455"/>
      <c r="K58" s="145"/>
      <c r="L58" s="145"/>
      <c r="M58" s="145"/>
      <c r="N58" s="145"/>
      <c r="O58" s="145"/>
    </row>
    <row r="59" spans="1:15" ht="4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0.75202686386666662</v>
      </c>
      <c r="I59" s="871"/>
      <c r="J59" s="455"/>
      <c r="K59" s="145"/>
      <c r="L59" s="145"/>
      <c r="M59" s="145"/>
      <c r="N59" s="145"/>
      <c r="O59" s="145"/>
    </row>
    <row r="60" spans="1:15" ht="43.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7.3254368220083999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9.9669784192083988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47"/>
      <c r="E67" s="938">
        <f>H66+H62+H56</f>
        <v>52.324474278900396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1.2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71</v>
      </c>
      <c r="B74" s="508"/>
      <c r="C74" s="508"/>
      <c r="D74" s="508"/>
      <c r="E74" s="508"/>
      <c r="F74" s="508"/>
      <c r="G74" s="509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11.2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341.56844236098976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369.74933340728961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5690.4363575341895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71</v>
      </c>
      <c r="B84" s="508"/>
      <c r="C84" s="508"/>
      <c r="D84" s="508"/>
      <c r="E84" s="508"/>
      <c r="F84" s="508"/>
      <c r="G84" s="509"/>
      <c r="H84" s="894">
        <f>H77+H78+H80+H81+H83</f>
        <v>1250.3439757682795</v>
      </c>
      <c r="I84" s="895"/>
      <c r="J84" s="896"/>
    </row>
    <row r="85" spans="1:15" ht="11.2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1015">
        <f>SUM(H84+H74+E67+H46+E37+E12)</f>
        <v>6129.8931523538467</v>
      </c>
      <c r="I86" s="1004"/>
      <c r="J86" s="1005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46:G46"/>
    <mergeCell ref="A84:G84"/>
    <mergeCell ref="A74:G74"/>
    <mergeCell ref="A2:C2"/>
    <mergeCell ref="D2:J2"/>
    <mergeCell ref="A3:J3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rowBreaks count="2" manualBreakCount="2">
    <brk id="37" max="16383" man="1"/>
    <brk id="67" max="16383" man="1"/>
  </rowBreaks>
  <legacy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5117038483843"/>
  </sheetPr>
  <dimension ref="A1:O88"/>
  <sheetViews>
    <sheetView view="pageBreakPreview" topLeftCell="A49" zoomScale="60" zoomScaleNormal="100" workbookViewId="0">
      <selection activeCell="E11" sqref="E11:J11"/>
    </sheetView>
  </sheetViews>
  <sheetFormatPr defaultRowHeight="15" x14ac:dyDescent="0.25"/>
  <cols>
    <col min="1" max="1" width="6.7109375" style="146" customWidth="1"/>
    <col min="2" max="2" width="3.28515625" style="146" customWidth="1"/>
    <col min="3" max="3" width="11.42578125" style="134" customWidth="1"/>
    <col min="4" max="4" width="41.28515625" style="134" customWidth="1"/>
    <col min="5" max="7" width="3.140625" style="116" customWidth="1"/>
    <col min="8" max="8" width="3.7109375" style="134" customWidth="1"/>
    <col min="9" max="9" width="0.285156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403</v>
      </c>
      <c r="E2" s="738"/>
      <c r="F2" s="738"/>
      <c r="G2" s="738"/>
      <c r="H2" s="738"/>
      <c r="I2" s="738"/>
      <c r="J2" s="739"/>
      <c r="K2" s="136"/>
    </row>
    <row r="3" spans="1:15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2133.1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>
        <f>(((E6/220)*20%)*9)*16</f>
        <v>279.24218181818179</v>
      </c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>
        <f>((((E6/220)*20%)*9)*0.14)*16</f>
        <v>39.093905454545457</v>
      </c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>
        <f>((E8+E9)/25)*5</f>
        <v>63.667217454545444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" customHeight="1" thickBot="1" x14ac:dyDescent="0.3">
      <c r="A11" s="141" t="s">
        <v>11</v>
      </c>
      <c r="B11" s="609" t="s">
        <v>161</v>
      </c>
      <c r="C11" s="610"/>
      <c r="D11" s="611"/>
      <c r="E11" s="950"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47"/>
      <c r="E12" s="894">
        <f>SUM(E6:J11)</f>
        <v>2933.1033047272731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9.25" customHeight="1" x14ac:dyDescent="0.25">
      <c r="A13" s="551" t="s">
        <v>29</v>
      </c>
      <c r="B13" s="715"/>
      <c r="C13" s="715"/>
      <c r="D13" s="716"/>
      <c r="E13" s="926">
        <f>E12*E30</f>
        <v>1079.3820161396366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0.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.75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397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244.32750528378185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354.90549987200001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599.23300515578183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229.36867842967277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706.4672619766111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88.308407747076387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105.97008929649165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52.985044648245825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35.323363098830548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21.194017859298331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7.0646726197661103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282.58690479064438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1299.8997620369644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v>0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47"/>
      <c r="E37" s="938">
        <f>H19+H30+H36</f>
        <v>1925.0827671927461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0.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12.221263769696971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0.97770110157575774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57.032564258585865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22.698960574917173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146.65516523636367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9"/>
      <c r="H46" s="894">
        <f>SUM(H40:J45)</f>
        <v>239.58565494113944</v>
      </c>
      <c r="I46" s="895"/>
      <c r="J46" s="896"/>
      <c r="K46" s="145"/>
      <c r="L46" s="145"/>
      <c r="M46" s="145"/>
      <c r="N46" s="145"/>
      <c r="O46" s="145"/>
    </row>
    <row r="47" spans="1:15" ht="10.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8.1475091797979804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0.61106318848484853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9.7770110157575765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16.295018359595961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13.864265355633941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48.699102932603644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2.1724518477013337</v>
      </c>
      <c r="I58" s="871"/>
      <c r="J58" s="455"/>
      <c r="K58" s="145"/>
      <c r="L58" s="145"/>
      <c r="M58" s="145"/>
      <c r="N58" s="145"/>
      <c r="O58" s="145"/>
    </row>
    <row r="59" spans="1:15" ht="44.2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0.86463583538513078</v>
      </c>
      <c r="I59" s="871"/>
      <c r="J59" s="455"/>
      <c r="K59" s="145"/>
      <c r="L59" s="145"/>
      <c r="M59" s="145"/>
      <c r="N59" s="145"/>
      <c r="O59" s="145"/>
    </row>
    <row r="60" spans="1:15" ht="45.7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8.422352299480103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11.459439982566568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47"/>
      <c r="E67" s="938">
        <f>H66+H62+H56</f>
        <v>60.158668204862209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0.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9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10.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.75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388.35512765462153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420.39612495536244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6469.8896735463804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9"/>
      <c r="H84" s="894">
        <f>H77+H78+H80+H81+H83</f>
        <v>1347.777452609984</v>
      </c>
      <c r="I84" s="895"/>
      <c r="J84" s="896"/>
    </row>
    <row r="85" spans="1:15" ht="10.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1015">
        <f>SUM(H84+H74+E67+H46+E37+E12)</f>
        <v>6895.7078476760053</v>
      </c>
      <c r="I86" s="1004"/>
      <c r="J86" s="1005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74:G74"/>
    <mergeCell ref="A84:G8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2" manualBreakCount="2">
    <brk id="37" max="16383" man="1"/>
    <brk id="67" max="16383" man="1"/>
  </rowBreaks>
  <legacy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O88"/>
  <sheetViews>
    <sheetView workbookViewId="0">
      <selection activeCell="L13" sqref="L13"/>
    </sheetView>
  </sheetViews>
  <sheetFormatPr defaultRowHeight="15" x14ac:dyDescent="0.25"/>
  <cols>
    <col min="1" max="1" width="6.7109375" style="146" customWidth="1"/>
    <col min="2" max="2" width="3.5703125" style="146" customWidth="1"/>
    <col min="3" max="3" width="11.7109375" style="134" customWidth="1"/>
    <col min="4" max="4" width="40.5703125" style="134" customWidth="1"/>
    <col min="5" max="7" width="3" style="116" customWidth="1"/>
    <col min="8" max="8" width="3.7109375" style="134" customWidth="1"/>
    <col min="9" max="9" width="0.8554687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257</v>
      </c>
      <c r="E2" s="738"/>
      <c r="F2" s="738"/>
      <c r="G2" s="738"/>
      <c r="H2" s="738"/>
      <c r="I2" s="738"/>
      <c r="J2" s="739"/>
      <c r="K2" s="136"/>
    </row>
    <row r="3" spans="1:15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3824.18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>
        <f>((E8+E9)/25)*5</f>
        <v>0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.75" customHeight="1" thickBot="1" x14ac:dyDescent="0.3">
      <c r="A11" s="141" t="s">
        <v>11</v>
      </c>
      <c r="B11" s="609" t="s">
        <v>161</v>
      </c>
      <c r="C11" s="610"/>
      <c r="D11" s="611"/>
      <c r="E11" s="950"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47"/>
      <c r="E12" s="894">
        <f>SUM(E6:J11)</f>
        <v>4242.18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32.25" customHeight="1" x14ac:dyDescent="0.25">
      <c r="A13" s="551" t="s">
        <v>29</v>
      </c>
      <c r="B13" s="715"/>
      <c r="C13" s="715"/>
      <c r="D13" s="716"/>
      <c r="E13" s="926">
        <f>E12*E30</f>
        <v>1561.1222400000004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9.7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350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353.37359400000003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513.30378000000007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866.6773740000001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331.73847600000005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1021.7714748000001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127.72143435000001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153.26572121999999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76.632860609999994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51.088573740000001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30.653144244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10.217714748000001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408.70858992000001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1880.0595136319998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v>0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47"/>
      <c r="E37" s="938">
        <f>H19+H30+H36</f>
        <v>2772.6868876319995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9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17.675750000000004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1.4140600000000003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82.486833333333337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32.829759666666668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212.10900000000004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9"/>
      <c r="H46" s="894">
        <f>SUM(H40:J45)</f>
        <v>346.51540300000005</v>
      </c>
      <c r="I46" s="895"/>
      <c r="J46" s="896"/>
      <c r="K46" s="145"/>
      <c r="L46" s="145"/>
      <c r="M46" s="145"/>
      <c r="N46" s="145"/>
      <c r="O46" s="145"/>
    </row>
    <row r="47" spans="1:15" ht="8.2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373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11.783833333333334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0.88378750000000006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14.140599999999999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23.567666666666668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20.051289086666664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70.431412419999987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3.1420413200000001</v>
      </c>
      <c r="I58" s="871"/>
      <c r="J58" s="455"/>
      <c r="K58" s="145"/>
      <c r="L58" s="145"/>
      <c r="M58" s="145"/>
      <c r="N58" s="145"/>
      <c r="O58" s="145"/>
    </row>
    <row r="59" spans="1:15" ht="46.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1.25053244536</v>
      </c>
      <c r="I59" s="871"/>
      <c r="J59" s="455"/>
      <c r="K59" s="145"/>
      <c r="L59" s="145"/>
      <c r="M59" s="145"/>
      <c r="N59" s="145"/>
      <c r="O59" s="145"/>
    </row>
    <row r="60" spans="1:15" ht="44.2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12.181342000543919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16.573915765903919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47"/>
      <c r="E67" s="938">
        <f>H66+H62+H56</f>
        <v>87.005453475595914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0.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9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10.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548.6871420875317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593.95623212054102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9140.9769610584208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9"/>
      <c r="H84" s="894">
        <f>H77+H78+H80+H81+H83</f>
        <v>1681.6695742080726</v>
      </c>
      <c r="I84" s="895"/>
      <c r="J84" s="896"/>
    </row>
    <row r="85" spans="1:15" ht="10.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1015">
        <f>SUM(H84+H74+E67+H46+E37+E12)</f>
        <v>9520.0573183156685</v>
      </c>
      <c r="I86" s="1004"/>
      <c r="J86" s="1005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O88"/>
  <sheetViews>
    <sheetView workbookViewId="0">
      <selection activeCell="M16" sqref="M16"/>
    </sheetView>
  </sheetViews>
  <sheetFormatPr defaultRowHeight="15" x14ac:dyDescent="0.25"/>
  <cols>
    <col min="1" max="1" width="6.7109375" style="146" customWidth="1"/>
    <col min="2" max="2" width="3.5703125" style="146" customWidth="1"/>
    <col min="3" max="3" width="10.85546875" style="134" customWidth="1"/>
    <col min="4" max="4" width="40.85546875" style="134" customWidth="1"/>
    <col min="5" max="7" width="3" style="116" customWidth="1"/>
    <col min="8" max="8" width="3.7109375" style="134" customWidth="1"/>
    <col min="9" max="9" width="1.1406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405</v>
      </c>
      <c r="E2" s="738"/>
      <c r="F2" s="738"/>
      <c r="G2" s="738"/>
      <c r="H2" s="738"/>
      <c r="I2" s="738"/>
      <c r="J2" s="739"/>
      <c r="K2" s="136"/>
    </row>
    <row r="3" spans="1:15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.75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2070.4699999999998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1016">
        <f>((E8+E9)/25)*5</f>
        <v>0</v>
      </c>
      <c r="F10" s="1016"/>
      <c r="G10" s="1016"/>
      <c r="H10" s="1016"/>
      <c r="I10" s="1016"/>
      <c r="J10" s="1016"/>
      <c r="K10" s="145"/>
      <c r="L10" s="145"/>
      <c r="M10" s="145"/>
      <c r="N10" s="145"/>
      <c r="O10" s="145"/>
    </row>
    <row r="11" spans="1:15" ht="15.75" customHeight="1" thickBot="1" x14ac:dyDescent="0.3">
      <c r="A11" s="141" t="s">
        <v>11</v>
      </c>
      <c r="B11" s="609" t="s">
        <v>161</v>
      </c>
      <c r="C11" s="610"/>
      <c r="D11" s="611"/>
      <c r="E11" s="950"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47"/>
      <c r="E12" s="894">
        <f>SUM(E6:J11)</f>
        <v>2488.4699999999998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8.5" customHeight="1" x14ac:dyDescent="0.25">
      <c r="A13" s="1017" t="s">
        <v>29</v>
      </c>
      <c r="B13" s="1018"/>
      <c r="C13" s="1018"/>
      <c r="D13" s="1019"/>
      <c r="E13" s="1020">
        <f>E12*E30</f>
        <v>915.75696000000005</v>
      </c>
      <c r="F13" s="1021"/>
      <c r="G13" s="1021"/>
      <c r="H13" s="1021"/>
      <c r="I13" s="1021"/>
      <c r="J13" s="1022"/>
      <c r="K13" s="145"/>
      <c r="L13" s="145"/>
      <c r="M13" s="145"/>
      <c r="N13" s="145"/>
      <c r="O13" s="145"/>
    </row>
    <row r="14" spans="1:15" ht="11.2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.75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207.28955099999999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301.10486999999995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508.39442099999997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194.598354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599.37288419999993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74.921610524999991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89.905932629999995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44.952966314999998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29.968644209999997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17.981186525999998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5.9937288419999994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239.74915367999998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1102.8461069279999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f>(3.9*2*16)-6%*E6</f>
        <v>0.5718000000000103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26.52180000000001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47"/>
      <c r="E37" s="938">
        <f>H19+H30+H36</f>
        <v>1637.7623279279999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1.2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10.368625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0.82948999999999995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48.386916666666664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19.257992833333329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124.42349999999999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9"/>
      <c r="H46" s="894">
        <f>SUM(H40:J45)</f>
        <v>203.2665245</v>
      </c>
      <c r="I46" s="895"/>
      <c r="J46" s="896"/>
      <c r="K46" s="145"/>
      <c r="L46" s="145"/>
      <c r="M46" s="145"/>
      <c r="N46" s="145"/>
      <c r="O46" s="145"/>
    </row>
    <row r="47" spans="1:15" ht="10.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371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6.9124166666666662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0.51843125000000001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8.2948999999999984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13.824833333333334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11.762817199166665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41.317634282499995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1.8431267799999997</v>
      </c>
      <c r="I58" s="871"/>
      <c r="J58" s="455"/>
      <c r="K58" s="145"/>
      <c r="L58" s="145"/>
      <c r="M58" s="145"/>
      <c r="N58" s="145"/>
      <c r="O58" s="145"/>
    </row>
    <row r="59" spans="1:15" ht="43.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0.73356445843999984</v>
      </c>
      <c r="I59" s="871"/>
      <c r="J59" s="455"/>
      <c r="K59" s="145"/>
      <c r="L59" s="145"/>
      <c r="M59" s="145"/>
      <c r="N59" s="145"/>
      <c r="O59" s="145"/>
    </row>
    <row r="60" spans="1:15" ht="46.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7.1455959266446794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9.7222871650846798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47"/>
      <c r="E67" s="938">
        <f>H66+H62+H56</f>
        <v>51.040046737276676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1.2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9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9.7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333.93772294156935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361.48904624713424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5563.3106695804972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9"/>
      <c r="H84" s="894">
        <f>H77+H78+H80+H81+H83</f>
        <v>1234.4529691887037</v>
      </c>
      <c r="I84" s="895"/>
      <c r="J84" s="896"/>
    </row>
    <row r="85" spans="1:15" ht="11.2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1015">
        <f>SUM(H84+H74+E67+H46+E37+E12)</f>
        <v>6004.99186835398</v>
      </c>
      <c r="I86" s="1004"/>
      <c r="J86" s="1005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46:G46"/>
    <mergeCell ref="A86:G86"/>
    <mergeCell ref="H86:J86"/>
    <mergeCell ref="A83:B83"/>
    <mergeCell ref="C83:D83"/>
    <mergeCell ref="E83:G83"/>
    <mergeCell ref="H83:J83"/>
    <mergeCell ref="H84:J84"/>
    <mergeCell ref="A84:G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6FF66"/>
  </sheetPr>
  <dimension ref="A1:O88"/>
  <sheetViews>
    <sheetView workbookViewId="0">
      <selection activeCell="O76" sqref="O76"/>
    </sheetView>
  </sheetViews>
  <sheetFormatPr defaultRowHeight="15" x14ac:dyDescent="0.25"/>
  <cols>
    <col min="1" max="1" width="6.7109375" style="179" customWidth="1"/>
    <col min="2" max="2" width="3.140625" style="179" customWidth="1"/>
    <col min="3" max="3" width="11" style="134" customWidth="1"/>
    <col min="4" max="4" width="41.28515625" style="134" customWidth="1"/>
    <col min="5" max="7" width="3.28515625" style="116" customWidth="1"/>
    <col min="8" max="8" width="3.7109375" style="134" customWidth="1"/>
    <col min="9" max="9" width="0.710937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260</v>
      </c>
      <c r="E2" s="738"/>
      <c r="F2" s="738"/>
      <c r="G2" s="738"/>
      <c r="H2" s="738"/>
      <c r="I2" s="738"/>
      <c r="J2" s="739"/>
      <c r="K2" s="136"/>
    </row>
    <row r="3" spans="1:15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8" t="s">
        <v>2</v>
      </c>
      <c r="B6" s="929" t="s">
        <v>1</v>
      </c>
      <c r="C6" s="930"/>
      <c r="D6" s="931"/>
      <c r="E6" s="949">
        <v>2331.89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8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8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8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8" t="s">
        <v>10</v>
      </c>
      <c r="B10" s="929" t="s">
        <v>28</v>
      </c>
      <c r="C10" s="930"/>
      <c r="D10" s="931"/>
      <c r="E10" s="949">
        <f>((E8+E9)/25)*5</f>
        <v>0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" customHeight="1" thickBot="1" x14ac:dyDescent="0.3">
      <c r="A11" s="142" t="s">
        <v>11</v>
      </c>
      <c r="B11" s="609" t="s">
        <v>161</v>
      </c>
      <c r="C11" s="610"/>
      <c r="D11" s="611"/>
      <c r="E11" s="950"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25"/>
      <c r="E12" s="894">
        <f>SUM(E6:J11)</f>
        <v>2749.89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9.25" customHeight="1" x14ac:dyDescent="0.25">
      <c r="A13" s="551" t="s">
        <v>29</v>
      </c>
      <c r="B13" s="715"/>
      <c r="C13" s="715"/>
      <c r="D13" s="716"/>
      <c r="E13" s="926">
        <f>E12*E30</f>
        <v>1011.9595200000001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1.2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8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229.06583699999999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8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332.73668999999995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561.80252699999994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8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215.04139800000002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662.33850540000003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82.792313175000004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99.350775809999988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49.675387904999994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33.116925269999996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19.870155162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6.6233850539999999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264.93540215999997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1218.7028499359999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v>0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47"/>
      <c r="E37" s="938">
        <f>H19+H30+H36</f>
        <v>1806.4553769359998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1.2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11.457875000000001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0.91663000000000017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53.470083333333335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21.281093166666665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137.49449999999999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9"/>
      <c r="H46" s="894">
        <f>SUM(H40:J45)</f>
        <v>224.6201815</v>
      </c>
      <c r="I46" s="895"/>
      <c r="J46" s="896"/>
      <c r="K46" s="145"/>
      <c r="L46" s="145"/>
      <c r="M46" s="145"/>
      <c r="N46" s="145"/>
      <c r="O46" s="145"/>
    </row>
    <row r="47" spans="1:15" ht="9.75" customHeight="1" thickBot="1" x14ac:dyDescent="0.3">
      <c r="A47" s="176"/>
      <c r="B47" s="176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358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7.6385833333333331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0.57289374999999987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9.1662999999999997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15.277166666666666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12.998353474166665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45.657533057499997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2.0367518599999999</v>
      </c>
      <c r="I58" s="871"/>
      <c r="J58" s="455"/>
      <c r="K58" s="145"/>
      <c r="L58" s="145"/>
      <c r="M58" s="145"/>
      <c r="N58" s="145"/>
      <c r="O58" s="145"/>
    </row>
    <row r="59" spans="1:15" ht="43.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0.81062724027999988</v>
      </c>
      <c r="I59" s="871"/>
      <c r="J59" s="455"/>
      <c r="K59" s="145"/>
      <c r="L59" s="145"/>
      <c r="M59" s="145"/>
      <c r="N59" s="145"/>
      <c r="O59" s="145"/>
    </row>
    <row r="60" spans="1:15" ht="45.7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7.8962586580191596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10.743637758299158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47"/>
      <c r="E67" s="938">
        <f>H66+H62+H56</f>
        <v>56.401296105491156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1.25" customHeight="1" thickBot="1" x14ac:dyDescent="0.3">
      <c r="A68" s="177"/>
      <c r="B68" s="177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9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9" customHeight="1" thickBot="1" x14ac:dyDescent="0.3">
      <c r="A75" s="176"/>
      <c r="B75" s="176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.75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365.91567981790439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396.10532448707716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6096.0546408647124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9"/>
      <c r="H84" s="894">
        <f>H77+H78+H80+H81+H83</f>
        <v>1301.0472043049815</v>
      </c>
      <c r="I84" s="895"/>
      <c r="J84" s="896"/>
    </row>
    <row r="85" spans="1:15" ht="11.25" customHeight="1" thickBot="1" x14ac:dyDescent="0.3">
      <c r="A85" s="176"/>
      <c r="B85" s="176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1015">
        <f>SUM(H84+H74+E67+H46+E37+E12)</f>
        <v>6528.4140588464725</v>
      </c>
      <c r="I86" s="1004"/>
      <c r="J86" s="1005"/>
    </row>
    <row r="87" spans="1:15" x14ac:dyDescent="0.25">
      <c r="A87" s="178"/>
      <c r="B87" s="178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46:G46"/>
    <mergeCell ref="A84:G84"/>
    <mergeCell ref="A74:G7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O88"/>
  <sheetViews>
    <sheetView view="pageBreakPreview" zoomScale="60" zoomScaleNormal="100" workbookViewId="0">
      <selection activeCell="O76" sqref="O76"/>
    </sheetView>
  </sheetViews>
  <sheetFormatPr defaultRowHeight="15" x14ac:dyDescent="0.25"/>
  <cols>
    <col min="1" max="1" width="6.7109375" style="146" customWidth="1"/>
    <col min="2" max="2" width="3.5703125" style="146" customWidth="1"/>
    <col min="3" max="3" width="10.7109375" style="134" customWidth="1"/>
    <col min="4" max="4" width="41.85546875" style="134" customWidth="1"/>
    <col min="5" max="7" width="3" style="116" customWidth="1"/>
    <col min="8" max="8" width="3.7109375" style="134" customWidth="1"/>
    <col min="9" max="9" width="0.710937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406</v>
      </c>
      <c r="E2" s="738"/>
      <c r="F2" s="738"/>
      <c r="G2" s="738"/>
      <c r="H2" s="738"/>
      <c r="I2" s="738"/>
      <c r="J2" s="739"/>
      <c r="K2" s="136"/>
    </row>
    <row r="3" spans="1:15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2388.88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1016">
        <f>((E8+E9)/25)*5</f>
        <v>0</v>
      </c>
      <c r="F10" s="1016"/>
      <c r="G10" s="1016"/>
      <c r="H10" s="1016"/>
      <c r="I10" s="1016"/>
      <c r="J10" s="1016"/>
      <c r="K10" s="145"/>
      <c r="L10" s="145"/>
      <c r="M10" s="145"/>
      <c r="N10" s="145"/>
      <c r="O10" s="145"/>
    </row>
    <row r="11" spans="1:15" ht="14.25" customHeight="1" thickBot="1" x14ac:dyDescent="0.3">
      <c r="A11" s="141" t="s">
        <v>11</v>
      </c>
      <c r="B11" s="609" t="s">
        <v>161</v>
      </c>
      <c r="C11" s="610"/>
      <c r="D11" s="611"/>
      <c r="E11" s="950"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1023" t="s">
        <v>319</v>
      </c>
      <c r="B12" s="1024"/>
      <c r="C12" s="1024"/>
      <c r="D12" s="1025"/>
      <c r="E12" s="1026">
        <f>SUM(E6:J11)</f>
        <v>2806.88</v>
      </c>
      <c r="F12" s="1027"/>
      <c r="G12" s="1027"/>
      <c r="H12" s="1027"/>
      <c r="I12" s="1027"/>
      <c r="J12" s="1028"/>
      <c r="K12" s="145"/>
      <c r="L12" s="145"/>
      <c r="M12" s="145"/>
      <c r="N12" s="145"/>
      <c r="O12" s="145"/>
    </row>
    <row r="13" spans="1:15" ht="28.5" customHeight="1" thickBot="1" x14ac:dyDescent="0.3">
      <c r="A13" s="551" t="s">
        <v>29</v>
      </c>
      <c r="B13" s="715"/>
      <c r="C13" s="715"/>
      <c r="D13" s="716"/>
      <c r="E13" s="926">
        <f>E12*E30</f>
        <v>1032.9318400000002</v>
      </c>
      <c r="F13" s="927"/>
      <c r="G13" s="927"/>
      <c r="H13" s="927"/>
      <c r="I13" s="927"/>
      <c r="J13" s="928"/>
      <c r="K13" s="145"/>
      <c r="L13" s="145"/>
      <c r="M13" s="180"/>
      <c r="N13" s="145"/>
      <c r="O13" s="145"/>
    </row>
    <row r="14" spans="1:15" ht="9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389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233.81310400000001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339.63247999999999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573.44558400000005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219.49801600000004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676.06511680000006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84.508139600000007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101.40976752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50.704883760000001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33.803255840000006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20.281953504000001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6.7606511680000008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270.42604672000004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1243.9598149120002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v>0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1023" t="s">
        <v>72</v>
      </c>
      <c r="B37" s="1024"/>
      <c r="C37" s="1024"/>
      <c r="D37" s="1025"/>
      <c r="E37" s="1029">
        <f>H19+H30+H36</f>
        <v>1843.3553989120003</v>
      </c>
      <c r="F37" s="1030"/>
      <c r="G37" s="1030"/>
      <c r="H37" s="1030"/>
      <c r="I37" s="1030"/>
      <c r="J37" s="1031"/>
      <c r="K37" s="145"/>
      <c r="L37" s="145"/>
      <c r="M37" s="145"/>
      <c r="N37" s="145"/>
      <c r="O37" s="145"/>
    </row>
    <row r="38" spans="1:15" s="155" customFormat="1" ht="12" customHeight="1" thickBot="1" x14ac:dyDescent="0.3">
      <c r="A38" s="1032"/>
      <c r="B38" s="1032"/>
      <c r="C38" s="1032"/>
      <c r="D38" s="1032"/>
      <c r="E38" s="1032"/>
      <c r="F38" s="1032"/>
      <c r="G38" s="1032"/>
      <c r="H38" s="1032"/>
      <c r="I38" s="1032"/>
      <c r="J38" s="1032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11.695333333333334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0.93562666666666672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54.57822222222223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21.722132444444444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140.34400000000002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1033" t="s">
        <v>318</v>
      </c>
      <c r="B46" s="1034"/>
      <c r="C46" s="1034"/>
      <c r="D46" s="1034"/>
      <c r="E46" s="1034"/>
      <c r="F46" s="1034"/>
      <c r="G46" s="1035"/>
      <c r="H46" s="1026">
        <f>SUM(H40:J45)</f>
        <v>229.2753146666667</v>
      </c>
      <c r="I46" s="1027"/>
      <c r="J46" s="1028"/>
      <c r="K46" s="145"/>
      <c r="L46" s="145"/>
      <c r="M46" s="145"/>
      <c r="N46" s="145"/>
      <c r="O46" s="145"/>
    </row>
    <row r="47" spans="1:15" ht="9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359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7.7968888888888896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0.58476666666666677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9.3562666666666683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15.593777777777781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13.267702461666667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46.603638295000003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2.0789624533333333</v>
      </c>
      <c r="I58" s="871"/>
      <c r="J58" s="455"/>
      <c r="K58" s="145"/>
      <c r="L58" s="145"/>
      <c r="M58" s="145"/>
      <c r="N58" s="145"/>
      <c r="O58" s="145"/>
    </row>
    <row r="59" spans="1:15" ht="4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0.82742705642666659</v>
      </c>
      <c r="I59" s="871"/>
      <c r="J59" s="455"/>
      <c r="K59" s="145"/>
      <c r="L59" s="145"/>
      <c r="M59" s="145"/>
      <c r="N59" s="145"/>
      <c r="O59" s="145"/>
    </row>
    <row r="60" spans="1:15" ht="47.2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8.0599043969107189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10.966293906670719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" customHeight="1" thickBot="1" x14ac:dyDescent="0.3">
      <c r="A67" s="1023" t="s">
        <v>71</v>
      </c>
      <c r="B67" s="1024"/>
      <c r="C67" s="1024"/>
      <c r="D67" s="1025"/>
      <c r="E67" s="1029">
        <f>H66+H62+H56</f>
        <v>57.570057491362725</v>
      </c>
      <c r="F67" s="1030"/>
      <c r="G67" s="1030"/>
      <c r="H67" s="1030"/>
      <c r="I67" s="1030"/>
      <c r="J67" s="1031"/>
      <c r="K67" s="145"/>
      <c r="L67" s="145"/>
      <c r="M67" s="145"/>
      <c r="N67" s="145"/>
      <c r="O67" s="145"/>
    </row>
    <row r="68" spans="1:15" ht="11.2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1033" t="s">
        <v>320</v>
      </c>
      <c r="B74" s="1034"/>
      <c r="C74" s="1034"/>
      <c r="D74" s="1034"/>
      <c r="E74" s="1034"/>
      <c r="F74" s="1034"/>
      <c r="G74" s="1035"/>
      <c r="H74" s="1026">
        <f>SUM(H70:J73)</f>
        <v>390</v>
      </c>
      <c r="I74" s="1027"/>
      <c r="J74" s="1028"/>
      <c r="K74" s="145"/>
      <c r="L74" s="145"/>
      <c r="M74" s="145"/>
      <c r="N74" s="145"/>
      <c r="O74" s="145"/>
    </row>
    <row r="75" spans="1:15" ht="9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372.89565397490213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403.66117705328827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6212.3390916268572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1033" t="s">
        <v>321</v>
      </c>
      <c r="B84" s="1034"/>
      <c r="C84" s="1034"/>
      <c r="D84" s="1034"/>
      <c r="E84" s="1034"/>
      <c r="F84" s="1034"/>
      <c r="G84" s="1035"/>
      <c r="H84" s="1026">
        <f>H77+H78+H80+H81+H83</f>
        <v>1315.5830310281904</v>
      </c>
      <c r="I84" s="1027"/>
      <c r="J84" s="1028"/>
    </row>
    <row r="85" spans="1:15" ht="11.2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1015">
        <f>SUM(H84+H74+E67+H46+E37+E12)</f>
        <v>6642.66380209822</v>
      </c>
      <c r="I86" s="1004"/>
      <c r="J86" s="1005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86:G86"/>
    <mergeCell ref="H86:J86"/>
    <mergeCell ref="A83:B83"/>
    <mergeCell ref="C83:D83"/>
    <mergeCell ref="E83:G83"/>
    <mergeCell ref="H83:J83"/>
    <mergeCell ref="H84:J84"/>
    <mergeCell ref="A84:G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O88"/>
  <sheetViews>
    <sheetView workbookViewId="0">
      <selection activeCell="N11" sqref="N11"/>
    </sheetView>
  </sheetViews>
  <sheetFormatPr defaultRowHeight="15" x14ac:dyDescent="0.25"/>
  <cols>
    <col min="1" max="1" width="6.7109375" style="146" customWidth="1"/>
    <col min="2" max="2" width="3.5703125" style="146" customWidth="1"/>
    <col min="3" max="3" width="11" style="134" customWidth="1"/>
    <col min="4" max="4" width="41.7109375" style="134" customWidth="1"/>
    <col min="5" max="7" width="3" style="116" customWidth="1"/>
    <col min="8" max="8" width="3.7109375" style="134" customWidth="1"/>
    <col min="9" max="9" width="0.57031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265</v>
      </c>
      <c r="E2" s="738"/>
      <c r="F2" s="738"/>
      <c r="G2" s="738"/>
      <c r="H2" s="738"/>
      <c r="I2" s="738"/>
      <c r="J2" s="739"/>
      <c r="K2" s="136"/>
    </row>
    <row r="3" spans="1:15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2768.03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>
        <f>((E8+E9)/25)*5</f>
        <v>0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" customHeight="1" thickBot="1" x14ac:dyDescent="0.3">
      <c r="A11" s="141" t="s">
        <v>11</v>
      </c>
      <c r="B11" s="609" t="s">
        <v>161</v>
      </c>
      <c r="C11" s="610"/>
      <c r="D11" s="611"/>
      <c r="E11" s="950"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47"/>
      <c r="E12" s="894">
        <f>SUM(E6:J11)</f>
        <v>3186.03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8.5" customHeight="1" x14ac:dyDescent="0.25">
      <c r="A13" s="551" t="s">
        <v>29</v>
      </c>
      <c r="B13" s="715"/>
      <c r="C13" s="715"/>
      <c r="D13" s="716"/>
      <c r="E13" s="926">
        <f>E12*E30</f>
        <v>1172.4590400000002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0.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.75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265.396299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385.50963000000002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650.90592900000001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249.14754600000003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767.38718580000011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95.923398225000014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115.10807787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57.554038935000001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38.369359290000006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23.021615574000002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7.6738718580000009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306.95487432000004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1411.992421872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v>0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47"/>
      <c r="E37" s="938">
        <f>H19+H30+H36</f>
        <v>2088.8483508720001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0.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13.275125000000001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1.0620100000000001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61.950583333333341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24.656332166666669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159.30150000000003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9"/>
      <c r="H46" s="894">
        <f>SUM(H40:J45)</f>
        <v>260.24555050000004</v>
      </c>
      <c r="I46" s="895"/>
      <c r="J46" s="896"/>
      <c r="K46" s="145"/>
      <c r="L46" s="145"/>
      <c r="M46" s="145"/>
      <c r="N46" s="145"/>
      <c r="O46" s="145"/>
    </row>
    <row r="47" spans="1:15" ht="10.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371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8.850083333333334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0.66375624999999994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10.620100000000001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17.700166666666668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15.059660149166668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52.898002232500005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2.3597862199999997</v>
      </c>
      <c r="I58" s="871"/>
      <c r="J58" s="455"/>
      <c r="K58" s="145"/>
      <c r="L58" s="145"/>
      <c r="M58" s="145"/>
      <c r="N58" s="145"/>
      <c r="O58" s="145"/>
    </row>
    <row r="59" spans="1:15" ht="44.2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0.93919491555999979</v>
      </c>
      <c r="I59" s="871"/>
      <c r="J59" s="455"/>
      <c r="K59" s="145"/>
      <c r="L59" s="145"/>
      <c r="M59" s="145"/>
      <c r="N59" s="145"/>
      <c r="O59" s="145"/>
    </row>
    <row r="60" spans="1:15" ht="47.2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9.1486266622333208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12.447607797793321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47"/>
      <c r="E67" s="938">
        <f>H66+H62+H56</f>
        <v>65.345735319985323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0.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9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10.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419.33287456843902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453.9296715344064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6985.9704217982335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9"/>
      <c r="H84" s="894">
        <f>H77+H78+H80+H81+H83</f>
        <v>1412.2887461028454</v>
      </c>
      <c r="I84" s="895"/>
      <c r="J84" s="896"/>
    </row>
    <row r="85" spans="1:15" ht="10.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1015">
        <f>SUM(H84+H74+E67+H46+E37+E12)</f>
        <v>7402.758382794831</v>
      </c>
      <c r="I86" s="1004"/>
      <c r="J86" s="1005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86:G86"/>
    <mergeCell ref="H86:J86"/>
    <mergeCell ref="A83:B83"/>
    <mergeCell ref="C83:D83"/>
    <mergeCell ref="E83:G83"/>
    <mergeCell ref="H83:J83"/>
    <mergeCell ref="H84:J84"/>
    <mergeCell ref="A84:G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6337778862885"/>
  </sheetPr>
  <dimension ref="A1:O88"/>
  <sheetViews>
    <sheetView workbookViewId="0">
      <selection activeCell="L13" sqref="L13"/>
    </sheetView>
  </sheetViews>
  <sheetFormatPr defaultRowHeight="15" x14ac:dyDescent="0.25"/>
  <cols>
    <col min="1" max="1" width="6.7109375" style="146" customWidth="1"/>
    <col min="2" max="2" width="3" style="146" customWidth="1"/>
    <col min="3" max="3" width="10.7109375" style="134" customWidth="1"/>
    <col min="4" max="4" width="42.28515625" style="134" customWidth="1"/>
    <col min="5" max="7" width="3.140625" style="134" customWidth="1"/>
    <col min="8" max="8" width="3.7109375" style="134" customWidth="1"/>
    <col min="9" max="9" width="0.710937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407</v>
      </c>
      <c r="E2" s="738"/>
      <c r="F2" s="738"/>
      <c r="G2" s="738"/>
      <c r="H2" s="738"/>
      <c r="I2" s="738"/>
      <c r="J2" s="739"/>
      <c r="K2" s="136"/>
    </row>
    <row r="3" spans="1:15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5155.8500000000004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>
        <f>((E8+E9)/25)*5</f>
        <v>0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" customHeight="1" thickBot="1" x14ac:dyDescent="0.3">
      <c r="A11" s="141" t="s">
        <v>11</v>
      </c>
      <c r="B11" s="609" t="s">
        <v>161</v>
      </c>
      <c r="C11" s="610"/>
      <c r="D11" s="611"/>
      <c r="E11" s="950"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47"/>
      <c r="E12" s="894">
        <f>SUM(E6:J11)</f>
        <v>5573.85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9.25" customHeight="1" x14ac:dyDescent="0.25">
      <c r="A13" s="1017" t="s">
        <v>29</v>
      </c>
      <c r="B13" s="1018"/>
      <c r="C13" s="1018"/>
      <c r="D13" s="1019"/>
      <c r="E13" s="1020">
        <f>E12*E30</f>
        <v>2051.1768000000002</v>
      </c>
      <c r="F13" s="1021"/>
      <c r="G13" s="1021"/>
      <c r="H13" s="1021"/>
      <c r="I13" s="1021"/>
      <c r="J13" s="1022"/>
      <c r="K13" s="145"/>
      <c r="L13" s="145"/>
      <c r="M13" s="145"/>
      <c r="N13" s="181"/>
      <c r="O13" s="145"/>
    </row>
    <row r="14" spans="1:15" ht="10.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.75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978">
        <v>8.3299999999999999E-2</v>
      </c>
      <c r="F17" s="979"/>
      <c r="G17" s="980"/>
      <c r="H17" s="868">
        <f>E17*E12</f>
        <v>464.30170500000003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75">
        <v>0.121</v>
      </c>
      <c r="F18" s="976"/>
      <c r="G18" s="977"/>
      <c r="H18" s="868">
        <f>E18*E12</f>
        <v>674.43585000000007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1138.7375550000002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75">
        <v>7.8200000000000006E-2</v>
      </c>
      <c r="F20" s="976"/>
      <c r="G20" s="977"/>
      <c r="H20" s="922">
        <f>E12*E20</f>
        <v>435.87507000000005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1342.517511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167.814688875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201.37762665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100.688813325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67.125875550000003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40.275525330000001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13.42517511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537.00700440000003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2470.2322202400001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v>0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47"/>
      <c r="E37" s="938">
        <f>H19+H30+H36</f>
        <v>3634.91977524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0.5" customHeight="1" thickBot="1" x14ac:dyDescent="0.3">
      <c r="A38" s="1036"/>
      <c r="B38" s="1036"/>
      <c r="C38" s="1036"/>
      <c r="D38" s="1036"/>
      <c r="E38" s="1036"/>
      <c r="F38" s="1036"/>
      <c r="G38" s="1036"/>
      <c r="H38" s="1036"/>
      <c r="I38" s="1036"/>
      <c r="J38" s="1036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68"/>
      <c r="F40" s="169"/>
      <c r="G40" s="170"/>
      <c r="H40" s="870">
        <f>E12/12*5%</f>
        <v>23.224375000000002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68"/>
      <c r="F41" s="169"/>
      <c r="G41" s="170"/>
      <c r="H41" s="870">
        <f>H40*8%</f>
        <v>1.8579500000000002</v>
      </c>
      <c r="I41" s="871"/>
      <c r="J41" s="455"/>
      <c r="K41" s="145"/>
      <c r="L41" s="145"/>
      <c r="M41" s="145"/>
      <c r="N41" s="145"/>
      <c r="O41" s="145"/>
    </row>
    <row r="42" spans="1:15" ht="27.75" customHeight="1" thickBot="1" x14ac:dyDescent="0.3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ht="15.75" thickBot="1" x14ac:dyDescent="0.3">
      <c r="A43" s="964" t="s">
        <v>9</v>
      </c>
      <c r="B43" s="964"/>
      <c r="C43" s="284" t="s">
        <v>54</v>
      </c>
      <c r="D43" s="286"/>
      <c r="E43" s="935"/>
      <c r="F43" s="935"/>
      <c r="G43" s="935"/>
      <c r="H43" s="868">
        <f>E12/30/12*7*100%</f>
        <v>108.38041666666668</v>
      </c>
      <c r="I43" s="868"/>
      <c r="J43" s="868"/>
      <c r="K43" s="145"/>
      <c r="L43" s="173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935"/>
      <c r="F44" s="935"/>
      <c r="G44" s="935"/>
      <c r="H44" s="868">
        <f>H43*39.8%</f>
        <v>43.13540583333333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972"/>
      <c r="F45" s="973"/>
      <c r="G45" s="974"/>
      <c r="H45" s="900">
        <f>E12*5%</f>
        <v>278.69250000000005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9"/>
      <c r="H46" s="894">
        <f>SUM(H40:J45)</f>
        <v>455.29064750000009</v>
      </c>
      <c r="I46" s="895"/>
      <c r="J46" s="896"/>
      <c r="K46" s="145"/>
      <c r="L46" s="145"/>
      <c r="M46" s="145"/>
      <c r="N46" s="145"/>
      <c r="O46" s="145"/>
    </row>
    <row r="47" spans="1:15" ht="10.5" customHeight="1" thickBot="1" x14ac:dyDescent="0.3">
      <c r="A47" s="147"/>
      <c r="B47" s="147"/>
      <c r="C47" s="143"/>
      <c r="D47" s="143"/>
      <c r="E47" s="171"/>
      <c r="F47" s="171"/>
      <c r="G47" s="171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68"/>
      <c r="F49" s="169"/>
      <c r="G49" s="170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68"/>
      <c r="F50" s="169"/>
      <c r="G50" s="170"/>
      <c r="H50" s="870">
        <f>E12/30/12</f>
        <v>15.482916666666668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1.16121875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935"/>
      <c r="F52" s="935"/>
      <c r="G52" s="935"/>
      <c r="H52" s="868">
        <f>E12/30/12*15*8%</f>
        <v>18.579500000000003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935"/>
      <c r="F53" s="935"/>
      <c r="G53" s="935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935"/>
      <c r="F54" s="935"/>
      <c r="G54" s="935"/>
      <c r="H54" s="868">
        <f>E12/30/12*5*40%</f>
        <v>30.965833333333336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935"/>
      <c r="F55" s="935"/>
      <c r="G55" s="935"/>
      <c r="H55" s="868">
        <f>SUM(H49:J54)*39.8%</f>
        <v>26.345094424166664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92.538799007499989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68"/>
      <c r="F58" s="169"/>
      <c r="G58" s="170"/>
      <c r="H58" s="870">
        <f>((((E12+(E12/3))*0.3333)/12)*2%)</f>
        <v>4.1283648999999993</v>
      </c>
      <c r="I58" s="871"/>
      <c r="J58" s="455"/>
      <c r="K58" s="145"/>
      <c r="L58" s="145"/>
      <c r="M58" s="145"/>
      <c r="N58" s="145"/>
      <c r="O58" s="145"/>
    </row>
    <row r="59" spans="1:15" ht="44.25" customHeight="1" x14ac:dyDescent="0.25">
      <c r="A59" s="962" t="s">
        <v>7</v>
      </c>
      <c r="B59" s="963"/>
      <c r="C59" s="454" t="s">
        <v>65</v>
      </c>
      <c r="D59" s="455"/>
      <c r="E59" s="168"/>
      <c r="F59" s="169"/>
      <c r="G59" s="170"/>
      <c r="H59" s="870">
        <f>H58*39.8%</f>
        <v>1.6430892301999995</v>
      </c>
      <c r="I59" s="871"/>
      <c r="J59" s="455"/>
      <c r="K59" s="145"/>
      <c r="L59" s="145"/>
      <c r="M59" s="145"/>
      <c r="N59" s="145"/>
      <c r="O59" s="145"/>
    </row>
    <row r="60" spans="1:15" ht="44.2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16.0052079614094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935"/>
      <c r="F61" s="935"/>
      <c r="G61" s="935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21.776662091609399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68"/>
      <c r="F64" s="169"/>
      <c r="G64" s="170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68"/>
      <c r="F65" s="169"/>
      <c r="G65" s="170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47"/>
      <c r="E67" s="938">
        <f>H66+H62+H56</f>
        <v>114.31558638880139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0.5" customHeight="1" thickBot="1" x14ac:dyDescent="0.3">
      <c r="A68" s="144"/>
      <c r="B68" s="144"/>
      <c r="C68" s="144"/>
      <c r="D68" s="144"/>
      <c r="E68" s="144"/>
      <c r="F68" s="144"/>
      <c r="G68" s="14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454"/>
      <c r="F70" s="871"/>
      <c r="G70" s="455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68"/>
      <c r="F71" s="169"/>
      <c r="G71" s="170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967"/>
      <c r="F73" s="967"/>
      <c r="G73" s="96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9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10.5" customHeight="1" thickBot="1" x14ac:dyDescent="0.3">
      <c r="A75" s="147"/>
      <c r="B75" s="147"/>
      <c r="C75" s="143"/>
      <c r="D75" s="143"/>
      <c r="E75" s="171"/>
      <c r="F75" s="171"/>
      <c r="G75" s="171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971">
        <v>7.0000000000000007E-2</v>
      </c>
      <c r="F77" s="871"/>
      <c r="G77" s="455"/>
      <c r="H77" s="870">
        <f>(H74+E67+H46+E37+E12)*E77</f>
        <v>711.78632063901625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971">
        <v>7.577530628885254E-2</v>
      </c>
      <c r="F78" s="871"/>
      <c r="G78" s="455"/>
      <c r="H78" s="870">
        <f>E78*(H74+E67+H46+E37+E12)</f>
        <v>770.51180655195503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68">
        <v>0.85750000000000004</v>
      </c>
      <c r="F79" s="969"/>
      <c r="G79" s="970"/>
      <c r="H79" s="868">
        <f>(H74+E67+H46+E37+E12)/E79</f>
        <v>11858.164442132713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935">
        <v>1.6500000000000001E-2</v>
      </c>
      <c r="F80" s="935"/>
      <c r="G80" s="935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935">
        <v>7.5999999999999998E-2</v>
      </c>
      <c r="F81" s="935"/>
      <c r="G81" s="935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935"/>
      <c r="F82" s="935"/>
      <c r="G82" s="935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967">
        <v>0.05</v>
      </c>
      <c r="F83" s="967"/>
      <c r="G83" s="96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9"/>
      <c r="H84" s="894">
        <f>H77+H78+H80+H81+H83</f>
        <v>2021.3243271909712</v>
      </c>
      <c r="I84" s="895"/>
      <c r="J84" s="896"/>
    </row>
    <row r="85" spans="1:15" ht="10.5" customHeight="1" thickBot="1" x14ac:dyDescent="0.3">
      <c r="A85" s="147"/>
      <c r="B85" s="147"/>
      <c r="C85" s="143"/>
      <c r="D85" s="143"/>
      <c r="E85" s="171"/>
      <c r="F85" s="171"/>
      <c r="G85" s="171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1015">
        <f>SUM(H84+H74+E67+H46+E37+E12)</f>
        <v>12189.700336319773</v>
      </c>
      <c r="I86" s="1004"/>
      <c r="J86" s="1005"/>
    </row>
    <row r="87" spans="1:15" x14ac:dyDescent="0.25">
      <c r="A87" s="145"/>
      <c r="B87" s="145"/>
      <c r="C87" s="145"/>
      <c r="D87" s="145"/>
      <c r="E87" s="145"/>
      <c r="F87" s="145"/>
      <c r="G87" s="145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46:G46"/>
    <mergeCell ref="A84:G84"/>
    <mergeCell ref="A74:G74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2" manualBreakCount="2">
    <brk id="38" max="9" man="1"/>
    <brk id="67" max="9" man="1"/>
  </rowBreaks>
  <legacy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6337778862885"/>
  </sheetPr>
  <dimension ref="A1:O88"/>
  <sheetViews>
    <sheetView view="pageBreakPreview" zoomScale="60" zoomScaleNormal="100" workbookViewId="0">
      <selection activeCell="M48" sqref="M48"/>
    </sheetView>
  </sheetViews>
  <sheetFormatPr defaultRowHeight="15" x14ac:dyDescent="0.25"/>
  <cols>
    <col min="1" max="1" width="6.7109375" style="146" customWidth="1"/>
    <col min="2" max="2" width="3.5703125" style="146" customWidth="1"/>
    <col min="3" max="3" width="10.85546875" style="134" customWidth="1"/>
    <col min="4" max="4" width="41.42578125" style="134" customWidth="1"/>
    <col min="5" max="5" width="3.140625" style="116" customWidth="1"/>
    <col min="6" max="6" width="2.5703125" style="116" customWidth="1"/>
    <col min="7" max="7" width="3.42578125" style="116" customWidth="1"/>
    <col min="8" max="8" width="3.7109375" style="134" customWidth="1"/>
    <col min="9" max="9" width="1.1406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408</v>
      </c>
      <c r="E2" s="738"/>
      <c r="F2" s="738"/>
      <c r="G2" s="738"/>
      <c r="H2" s="738"/>
      <c r="I2" s="738"/>
      <c r="J2" s="739"/>
      <c r="K2" s="136"/>
    </row>
    <row r="3" spans="1:15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10311.700000000001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>
        <f>((E8+E9)/25)*5</f>
        <v>0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.75" customHeight="1" thickBot="1" x14ac:dyDescent="0.3">
      <c r="A11" s="141" t="s">
        <v>11</v>
      </c>
      <c r="B11" s="609" t="s">
        <v>161</v>
      </c>
      <c r="C11" s="610"/>
      <c r="D11" s="611"/>
      <c r="E11" s="950"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" customHeight="1" thickBot="1" x14ac:dyDescent="0.3">
      <c r="A12" s="882" t="s">
        <v>319</v>
      </c>
      <c r="B12" s="883"/>
      <c r="C12" s="883"/>
      <c r="D12" s="947"/>
      <c r="E12" s="894">
        <f>SUM(E6:J11)</f>
        <v>10729.7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29.25" customHeight="1" x14ac:dyDescent="0.25">
      <c r="A13" s="551" t="s">
        <v>29</v>
      </c>
      <c r="B13" s="715"/>
      <c r="C13" s="715"/>
      <c r="D13" s="716"/>
      <c r="E13" s="926">
        <f>E12*E30</f>
        <v>3948.5296000000008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1.2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345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893.78401000000008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1298.2936999999999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2192.07771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839.06254000000013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2584.3555420000002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323.04444275000003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387.65333129999999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193.82666565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129.21777710000001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77.530666260000004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25.843555420000001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1033.7422168000001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4755.2141972800009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v>0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47"/>
      <c r="E37" s="938">
        <f>H19+H30+H36</f>
        <v>6973.2419072800012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1.2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44.707083333333344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3.5765666666666678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208.63305555555559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83.035956111111119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536.48500000000001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318</v>
      </c>
      <c r="B46" s="508"/>
      <c r="C46" s="508"/>
      <c r="D46" s="508"/>
      <c r="E46" s="508"/>
      <c r="F46" s="508"/>
      <c r="G46" s="509"/>
      <c r="H46" s="894">
        <f>SUM(H40:J45)</f>
        <v>876.43766166666671</v>
      </c>
      <c r="I46" s="895"/>
      <c r="J46" s="896"/>
      <c r="K46" s="145"/>
      <c r="L46" s="145"/>
      <c r="M46" s="145"/>
      <c r="N46" s="145"/>
      <c r="O46" s="145"/>
    </row>
    <row r="47" spans="1:15" ht="11.2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29.804722222222225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2.2353541666666668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35.765666666666668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59.609444444444449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50.712930486666664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178.13235381999999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7.9471311333333334</v>
      </c>
      <c r="I58" s="871"/>
      <c r="J58" s="455"/>
      <c r="K58" s="145"/>
      <c r="L58" s="145"/>
      <c r="M58" s="145"/>
      <c r="N58" s="145"/>
      <c r="O58" s="145"/>
    </row>
    <row r="59" spans="1:15" ht="47.2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3.1629581910666666</v>
      </c>
      <c r="I59" s="871"/>
      <c r="J59" s="455"/>
      <c r="K59" s="145"/>
      <c r="L59" s="145"/>
      <c r="M59" s="145"/>
      <c r="N59" s="145"/>
      <c r="O59" s="145"/>
    </row>
    <row r="60" spans="1:15" ht="4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30.810136595626798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41.920225920026795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47"/>
      <c r="E67" s="938">
        <f>H66+H62+H56</f>
        <v>220.05270502971879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1.2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320</v>
      </c>
      <c r="B74" s="508"/>
      <c r="C74" s="508"/>
      <c r="D74" s="508"/>
      <c r="E74" s="508"/>
      <c r="F74" s="508"/>
      <c r="G74" s="509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11.2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1343.2602591783473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1454.085108069753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22378.346675191122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321</v>
      </c>
      <c r="B84" s="508"/>
      <c r="C84" s="508"/>
      <c r="D84" s="508"/>
      <c r="E84" s="508"/>
      <c r="F84" s="508"/>
      <c r="G84" s="509"/>
      <c r="H84" s="894">
        <f>H77+H78+H80+H81+H83</f>
        <v>3336.3715672480998</v>
      </c>
      <c r="I84" s="895"/>
      <c r="J84" s="896"/>
    </row>
    <row r="85" spans="1:15" ht="11.2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941">
        <f>SUM(H84+H74+E67+H46+E37+E12)</f>
        <v>22525.803841224486</v>
      </c>
      <c r="I86" s="942"/>
      <c r="J86" s="943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84:G84"/>
    <mergeCell ref="A74:G7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2" manualBreakCount="2">
    <brk id="37" max="16383" man="1"/>
    <brk id="67" max="16383" man="1"/>
  </rowBreaks>
  <legacy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6337778862885"/>
  </sheetPr>
  <dimension ref="A1:O88"/>
  <sheetViews>
    <sheetView view="pageBreakPreview" zoomScale="60" zoomScaleNormal="100" workbookViewId="0">
      <selection activeCell="O67" sqref="O67"/>
    </sheetView>
  </sheetViews>
  <sheetFormatPr defaultRowHeight="15" x14ac:dyDescent="0.25"/>
  <cols>
    <col min="1" max="1" width="6.7109375" style="146" customWidth="1"/>
    <col min="2" max="2" width="3.5703125" style="146" customWidth="1"/>
    <col min="3" max="3" width="10.85546875" style="134" customWidth="1"/>
    <col min="4" max="4" width="41.7109375" style="134" customWidth="1"/>
    <col min="5" max="5" width="3.140625" style="116" customWidth="1"/>
    <col min="6" max="6" width="2.5703125" style="116" customWidth="1"/>
    <col min="7" max="7" width="3.42578125" style="116" customWidth="1"/>
    <col min="8" max="8" width="3.7109375" style="134" customWidth="1"/>
    <col min="9" max="9" width="0.8554687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409</v>
      </c>
      <c r="E2" s="738"/>
      <c r="F2" s="738"/>
      <c r="G2" s="738"/>
      <c r="H2" s="738"/>
      <c r="I2" s="738"/>
      <c r="J2" s="739"/>
      <c r="K2" s="136"/>
    </row>
    <row r="3" spans="1:15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.75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7661.93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>
        <f>((E8+E9)/25)*5</f>
        <v>0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5" customHeight="1" thickBot="1" x14ac:dyDescent="0.3">
      <c r="A11" s="141" t="s">
        <v>11</v>
      </c>
      <c r="B11" s="609" t="s">
        <v>161</v>
      </c>
      <c r="C11" s="610"/>
      <c r="D11" s="611"/>
      <c r="E11" s="950">
        <f>1045*40%</f>
        <v>418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.75" thickBot="1" x14ac:dyDescent="0.3">
      <c r="A12" s="882" t="s">
        <v>330</v>
      </c>
      <c r="B12" s="883"/>
      <c r="C12" s="883"/>
      <c r="D12" s="947"/>
      <c r="E12" s="894">
        <f>SUM(E6:J11)</f>
        <v>8079.93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30" customHeight="1" x14ac:dyDescent="0.25">
      <c r="A13" s="551" t="s">
        <v>29</v>
      </c>
      <c r="B13" s="715"/>
      <c r="C13" s="715"/>
      <c r="D13" s="716"/>
      <c r="E13" s="926">
        <f>E12*E30</f>
        <v>2973.4142400000005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1.2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8.3299999999999999E-2</v>
      </c>
      <c r="F17" s="874"/>
      <c r="G17" s="875"/>
      <c r="H17" s="868">
        <f>E17*E12</f>
        <v>673.05816900000002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0.121</v>
      </c>
      <c r="F18" s="910"/>
      <c r="G18" s="911"/>
      <c r="H18" s="868">
        <f>E18*E12</f>
        <v>977.67152999999996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1650.729699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7.8200000000000006E-2</v>
      </c>
      <c r="F20" s="910"/>
      <c r="G20" s="911"/>
      <c r="H20" s="922">
        <f>E12*E20</f>
        <v>631.85052600000006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1946.1319398000001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f>E23*(E12+H19)</f>
        <v>243.26649247500001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f>E24*(E12+H19)</f>
        <v>291.91979097000001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f>E25*(E12+H19)</f>
        <v>145.959895485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f>E26*(E12+H19)</f>
        <v>97.306596990000003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f>E27*(E12+H19)</f>
        <v>58.383958194000002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f>E28*(E12+H19)</f>
        <v>19.461319398000001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f>E29*(E12+H19)</f>
        <v>778.45277592000002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3580.8827692320001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v>0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47"/>
      <c r="E37" s="938">
        <f>H19+H30+H36</f>
        <v>5257.5624682320004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1.2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f>E12/12*5%</f>
        <v>33.666375000000002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2.6933100000000003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f>E12/30/12*7*100%</f>
        <v>157.10974999999999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62.529680499999991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f>E12*5%</f>
        <v>403.99650000000003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333</v>
      </c>
      <c r="B46" s="508"/>
      <c r="C46" s="508"/>
      <c r="D46" s="508"/>
      <c r="E46" s="508"/>
      <c r="F46" s="508"/>
      <c r="G46" s="509"/>
      <c r="H46" s="894">
        <f>SUM(H40:J45)</f>
        <v>659.99561549999999</v>
      </c>
      <c r="I46" s="895"/>
      <c r="J46" s="896"/>
      <c r="K46" s="145"/>
      <c r="L46" s="145"/>
      <c r="M46" s="145"/>
      <c r="N46" s="145"/>
      <c r="O46" s="145"/>
    </row>
    <row r="47" spans="1:15" ht="10.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3.2583333333333336E-4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f>E12/30/12</f>
        <v>22.44425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f>E12/30/12*5*1.5%</f>
        <v>1.68331875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f>E12/30/12*15*8%</f>
        <v>26.9331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f>E20*5%</f>
        <v>3.9100000000000003E-3</v>
      </c>
      <c r="I53" s="868"/>
      <c r="J53" s="868"/>
      <c r="K53" s="145"/>
      <c r="L53" s="145"/>
      <c r="M53" s="145"/>
      <c r="N53" s="145"/>
      <c r="O53" s="145"/>
    </row>
    <row r="54" spans="1:15" ht="15.75" thickBot="1" x14ac:dyDescent="0.3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f>E12/30/12*5*40%</f>
        <v>44.888500000000001</v>
      </c>
      <c r="I54" s="868"/>
      <c r="J54" s="868"/>
      <c r="K54" s="145"/>
      <c r="L54" s="145"/>
      <c r="M54" s="145"/>
      <c r="N54" s="145"/>
      <c r="O54" s="145"/>
    </row>
    <row r="55" spans="1:15" ht="27.75" customHeight="1" thickBot="1" x14ac:dyDescent="0.3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38.189455024166662</v>
      </c>
      <c r="I55" s="868"/>
      <c r="J55" s="868"/>
      <c r="K55" s="145"/>
      <c r="L55" s="173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134.14285960749999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f>((((E12+(E12/3))*0.3333)/12)*2%)</f>
        <v>5.9845348200000004</v>
      </c>
      <c r="I58" s="871"/>
      <c r="J58" s="455"/>
      <c r="K58" s="145"/>
      <c r="L58" s="145"/>
      <c r="M58" s="145"/>
      <c r="N58" s="145"/>
      <c r="O58" s="145"/>
    </row>
    <row r="59" spans="1:15" ht="4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2.38184485836</v>
      </c>
      <c r="I59" s="871"/>
      <c r="J59" s="455"/>
      <c r="K59" s="145"/>
      <c r="L59" s="145"/>
      <c r="M59" s="145"/>
      <c r="N59" s="145"/>
      <c r="O59" s="145"/>
    </row>
    <row r="60" spans="1:15" ht="42.7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f>(((E12+H17)*0.333)*2%)*39.8%</f>
        <v>23.201370679804921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31.567750358164922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8.9620666666666654E-5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3.5669025333333325E-5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1.2528969199999997E-4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47"/>
      <c r="E67" s="938">
        <f>H66+H62+H56</f>
        <v>165.71073525535689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1.2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336</v>
      </c>
      <c r="B74" s="508"/>
      <c r="C74" s="508"/>
      <c r="D74" s="508"/>
      <c r="E74" s="508"/>
      <c r="F74" s="508"/>
      <c r="G74" s="509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9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.75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1018.7239173291151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1102.773097991334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16971.660430305954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340</v>
      </c>
      <c r="B84" s="508"/>
      <c r="C84" s="508"/>
      <c r="D84" s="508"/>
      <c r="E84" s="508"/>
      <c r="F84" s="508"/>
      <c r="G84" s="509"/>
      <c r="H84" s="894">
        <f>H77+H78+H80+H81+H83</f>
        <v>2660.5232153204493</v>
      </c>
      <c r="I84" s="895"/>
      <c r="J84" s="896"/>
    </row>
    <row r="85" spans="1:15" ht="11.2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1015">
        <f>SUM(H84+H74+E67+H46+E37+E12)</f>
        <v>17213.722034307808</v>
      </c>
      <c r="I86" s="1004"/>
      <c r="J86" s="1005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74:G74"/>
    <mergeCell ref="A84:G84"/>
    <mergeCell ref="A46:G46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A2:C2"/>
    <mergeCell ref="D2:J2"/>
    <mergeCell ref="A3:J3"/>
    <mergeCell ref="A4:J4"/>
    <mergeCell ref="A5:J5"/>
    <mergeCell ref="B6:D6"/>
    <mergeCell ref="E6:J6"/>
    <mergeCell ref="B10:D10"/>
    <mergeCell ref="E10:J10"/>
  </mergeCells>
  <pageMargins left="1.02362204724409" right="0.62992125984252001" top="1.37795275590551" bottom="1.37795275590551" header="0.511811023622047" footer="0.511811023622047"/>
  <pageSetup paperSize="9" orientation="portrait" r:id="rId1"/>
  <rowBreaks count="2" manualBreakCount="2">
    <brk id="37" max="9" man="1"/>
    <brk id="67" max="9" man="1"/>
  </rowBreaks>
  <legacy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6337778862885"/>
  </sheetPr>
  <dimension ref="A1:O88"/>
  <sheetViews>
    <sheetView topLeftCell="A67" workbookViewId="0">
      <selection activeCell="N72" sqref="N72"/>
    </sheetView>
  </sheetViews>
  <sheetFormatPr defaultRowHeight="15" x14ac:dyDescent="0.25"/>
  <cols>
    <col min="1" max="1" width="6.7109375" style="146" customWidth="1"/>
    <col min="2" max="2" width="3.28515625" style="146" customWidth="1"/>
    <col min="3" max="3" width="10.85546875" style="134" customWidth="1"/>
    <col min="4" max="4" width="41.140625" style="134" customWidth="1"/>
    <col min="5" max="5" width="3.140625" style="116" customWidth="1"/>
    <col min="6" max="6" width="2.5703125" style="116" customWidth="1"/>
    <col min="7" max="7" width="3.28515625" style="116" customWidth="1"/>
    <col min="8" max="8" width="3.7109375" style="134" customWidth="1"/>
    <col min="9" max="9" width="1.5703125" style="134" customWidth="1"/>
    <col min="10" max="10" width="7.5703125" style="134" customWidth="1"/>
    <col min="11" max="16384" width="9.140625" style="134"/>
  </cols>
  <sheetData>
    <row r="1" spans="1:15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5" ht="20.25" customHeight="1" thickBot="1" x14ac:dyDescent="0.3">
      <c r="A2" s="554" t="s">
        <v>0</v>
      </c>
      <c r="B2" s="555"/>
      <c r="C2" s="556"/>
      <c r="D2" s="737" t="s">
        <v>410</v>
      </c>
      <c r="E2" s="738"/>
      <c r="F2" s="738"/>
      <c r="G2" s="738"/>
      <c r="H2" s="738"/>
      <c r="I2" s="738"/>
      <c r="J2" s="739"/>
      <c r="K2" s="136"/>
    </row>
    <row r="3" spans="1:15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5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5" x14ac:dyDescent="0.25">
      <c r="A5" s="876" t="s">
        <v>31</v>
      </c>
      <c r="B5" s="876"/>
      <c r="C5" s="876"/>
      <c r="D5" s="876"/>
      <c r="E5" s="876"/>
      <c r="F5" s="876"/>
      <c r="G5" s="876"/>
      <c r="H5" s="876"/>
      <c r="I5" s="876"/>
      <c r="J5" s="876"/>
      <c r="K5" s="145"/>
      <c r="L5" s="145"/>
      <c r="M5" s="145"/>
      <c r="N5" s="145"/>
      <c r="O5" s="145"/>
    </row>
    <row r="6" spans="1:15" x14ac:dyDescent="0.25">
      <c r="A6" s="139" t="s">
        <v>2</v>
      </c>
      <c r="B6" s="929" t="s">
        <v>1</v>
      </c>
      <c r="C6" s="930"/>
      <c r="D6" s="931"/>
      <c r="E6" s="949">
        <v>1500</v>
      </c>
      <c r="F6" s="949"/>
      <c r="G6" s="949"/>
      <c r="H6" s="949"/>
      <c r="I6" s="949"/>
      <c r="J6" s="949"/>
      <c r="K6" s="145"/>
      <c r="L6" s="145"/>
      <c r="M6" s="145"/>
      <c r="N6" s="145"/>
      <c r="O6" s="145"/>
    </row>
    <row r="7" spans="1:15" x14ac:dyDescent="0.25">
      <c r="A7" s="139" t="s">
        <v>7</v>
      </c>
      <c r="B7" s="929" t="s">
        <v>25</v>
      </c>
      <c r="C7" s="930"/>
      <c r="D7" s="931"/>
      <c r="E7" s="951"/>
      <c r="F7" s="952"/>
      <c r="G7" s="952"/>
      <c r="H7" s="952"/>
      <c r="I7" s="952"/>
      <c r="J7" s="953"/>
      <c r="K7" s="145"/>
      <c r="L7" s="145"/>
      <c r="M7" s="145"/>
      <c r="N7" s="145"/>
      <c r="O7" s="145"/>
    </row>
    <row r="8" spans="1:15" x14ac:dyDescent="0.25">
      <c r="A8" s="139" t="s">
        <v>8</v>
      </c>
      <c r="B8" s="929" t="s">
        <v>26</v>
      </c>
      <c r="C8" s="930"/>
      <c r="D8" s="931"/>
      <c r="E8" s="951"/>
      <c r="F8" s="952"/>
      <c r="G8" s="952"/>
      <c r="H8" s="952"/>
      <c r="I8" s="952"/>
      <c r="J8" s="953"/>
      <c r="K8" s="145"/>
      <c r="L8" s="145"/>
      <c r="M8" s="145"/>
      <c r="N8" s="145"/>
      <c r="O8" s="145"/>
    </row>
    <row r="9" spans="1:15" x14ac:dyDescent="0.25">
      <c r="A9" s="139" t="s">
        <v>9</v>
      </c>
      <c r="B9" s="929" t="s">
        <v>27</v>
      </c>
      <c r="C9" s="930"/>
      <c r="D9" s="931"/>
      <c r="E9" s="951"/>
      <c r="F9" s="952"/>
      <c r="G9" s="952"/>
      <c r="H9" s="952"/>
      <c r="I9" s="952"/>
      <c r="J9" s="953"/>
      <c r="K9" s="145"/>
      <c r="L9" s="145"/>
      <c r="M9" s="145"/>
      <c r="N9" s="145"/>
      <c r="O9" s="145"/>
    </row>
    <row r="10" spans="1:15" x14ac:dyDescent="0.25">
      <c r="A10" s="139" t="s">
        <v>10</v>
      </c>
      <c r="B10" s="929" t="s">
        <v>28</v>
      </c>
      <c r="C10" s="930"/>
      <c r="D10" s="931"/>
      <c r="E10" s="949">
        <f>((E8+E9)/25)*5</f>
        <v>0</v>
      </c>
      <c r="F10" s="949"/>
      <c r="G10" s="949"/>
      <c r="H10" s="949"/>
      <c r="I10" s="949"/>
      <c r="J10" s="949"/>
      <c r="K10" s="145"/>
      <c r="L10" s="145"/>
      <c r="M10" s="145"/>
      <c r="N10" s="145"/>
      <c r="O10" s="145"/>
    </row>
    <row r="11" spans="1:15" ht="14.25" customHeight="1" thickBot="1" x14ac:dyDescent="0.3">
      <c r="A11" s="141" t="s">
        <v>11</v>
      </c>
      <c r="B11" s="609" t="s">
        <v>161</v>
      </c>
      <c r="C11" s="610"/>
      <c r="D11" s="611"/>
      <c r="E11" s="950">
        <v>0</v>
      </c>
      <c r="F11" s="950"/>
      <c r="G11" s="950"/>
      <c r="H11" s="950"/>
      <c r="I11" s="950"/>
      <c r="J11" s="950"/>
      <c r="K11" s="145"/>
      <c r="L11" s="145"/>
      <c r="M11" s="145"/>
      <c r="N11" s="145"/>
      <c r="O11" s="145"/>
    </row>
    <row r="12" spans="1:15" ht="15.75" thickBot="1" x14ac:dyDescent="0.3">
      <c r="A12" s="882" t="s">
        <v>330</v>
      </c>
      <c r="B12" s="883"/>
      <c r="C12" s="883"/>
      <c r="D12" s="947"/>
      <c r="E12" s="894">
        <f>SUM(E6:J11)</f>
        <v>1500</v>
      </c>
      <c r="F12" s="895"/>
      <c r="G12" s="895"/>
      <c r="H12" s="895"/>
      <c r="I12" s="895"/>
      <c r="J12" s="896"/>
      <c r="K12" s="145"/>
      <c r="L12" s="145"/>
      <c r="M12" s="145"/>
      <c r="N12" s="145"/>
      <c r="O12" s="145"/>
    </row>
    <row r="13" spans="1:15" ht="30.75" customHeight="1" x14ac:dyDescent="0.25">
      <c r="A13" s="551" t="s">
        <v>29</v>
      </c>
      <c r="B13" s="715"/>
      <c r="C13" s="715"/>
      <c r="D13" s="716"/>
      <c r="E13" s="926">
        <f>E12*E30</f>
        <v>552.00000000000011</v>
      </c>
      <c r="F13" s="927"/>
      <c r="G13" s="927"/>
      <c r="H13" s="927"/>
      <c r="I13" s="927"/>
      <c r="J13" s="928"/>
      <c r="K13" s="145"/>
      <c r="L13" s="145"/>
      <c r="M13" s="145"/>
      <c r="N13" s="145"/>
      <c r="O13" s="145"/>
    </row>
    <row r="14" spans="1:15" ht="10.5" customHeight="1" thickBot="1" x14ac:dyDescent="0.3">
      <c r="A14" s="286"/>
      <c r="B14" s="876"/>
      <c r="C14" s="876"/>
      <c r="D14" s="876"/>
      <c r="E14" s="876"/>
      <c r="F14" s="876"/>
      <c r="G14" s="876"/>
      <c r="H14" s="876"/>
      <c r="I14" s="876"/>
      <c r="J14" s="284"/>
      <c r="K14" s="145"/>
      <c r="L14" s="145"/>
      <c r="M14" s="145"/>
      <c r="N14" s="145"/>
      <c r="O14" s="145"/>
    </row>
    <row r="15" spans="1:15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5" ht="30" customHeight="1" thickBot="1" x14ac:dyDescent="0.3">
      <c r="A16" s="507" t="s">
        <v>389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5" x14ac:dyDescent="0.25">
      <c r="A17" s="139" t="s">
        <v>2</v>
      </c>
      <c r="B17" s="284" t="s">
        <v>34</v>
      </c>
      <c r="C17" s="285"/>
      <c r="D17" s="286"/>
      <c r="E17" s="873">
        <v>0</v>
      </c>
      <c r="F17" s="874"/>
      <c r="G17" s="875"/>
      <c r="H17" s="868">
        <f>E17*E12</f>
        <v>0</v>
      </c>
      <c r="I17" s="868"/>
      <c r="J17" s="868"/>
      <c r="K17" s="145"/>
      <c r="L17" s="145"/>
      <c r="M17" s="145"/>
      <c r="N17" s="145"/>
      <c r="O17" s="145"/>
    </row>
    <row r="18" spans="1:15" x14ac:dyDescent="0.25">
      <c r="A18" s="139" t="s">
        <v>7</v>
      </c>
      <c r="B18" s="284" t="s">
        <v>35</v>
      </c>
      <c r="C18" s="285"/>
      <c r="D18" s="286"/>
      <c r="E18" s="909">
        <v>0</v>
      </c>
      <c r="F18" s="910"/>
      <c r="G18" s="911"/>
      <c r="H18" s="868">
        <f>E18*E12</f>
        <v>0</v>
      </c>
      <c r="I18" s="868"/>
      <c r="J18" s="868"/>
      <c r="K18" s="145"/>
      <c r="L18" s="145"/>
      <c r="M18" s="145"/>
      <c r="N18" s="145"/>
      <c r="O18" s="145"/>
    </row>
    <row r="19" spans="1:15" x14ac:dyDescent="0.25">
      <c r="A19" s="918" t="s">
        <v>36</v>
      </c>
      <c r="B19" s="919"/>
      <c r="C19" s="919"/>
      <c r="D19" s="919"/>
      <c r="E19" s="919"/>
      <c r="F19" s="919"/>
      <c r="G19" s="920"/>
      <c r="H19" s="921">
        <f>SUM(H17:J18)</f>
        <v>0</v>
      </c>
      <c r="I19" s="921"/>
      <c r="J19" s="921"/>
      <c r="K19" s="145"/>
      <c r="L19" s="145"/>
      <c r="M19" s="145"/>
      <c r="N19" s="145"/>
      <c r="O19" s="145"/>
    </row>
    <row r="20" spans="1:15" ht="28.5" customHeight="1" thickBot="1" x14ac:dyDescent="0.3">
      <c r="A20" s="139" t="s">
        <v>8</v>
      </c>
      <c r="B20" s="284" t="s">
        <v>37</v>
      </c>
      <c r="C20" s="285"/>
      <c r="D20" s="286"/>
      <c r="E20" s="909">
        <v>0</v>
      </c>
      <c r="F20" s="910"/>
      <c r="G20" s="911"/>
      <c r="H20" s="922">
        <f>E12*E20</f>
        <v>0</v>
      </c>
      <c r="I20" s="923"/>
      <c r="J20" s="924"/>
      <c r="K20" s="145"/>
      <c r="L20" s="145"/>
      <c r="M20" s="145"/>
      <c r="N20" s="145"/>
      <c r="O20" s="145"/>
    </row>
    <row r="21" spans="1:15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5" x14ac:dyDescent="0.25">
      <c r="A22" s="478" t="s">
        <v>2</v>
      </c>
      <c r="B22" s="479"/>
      <c r="C22" s="912" t="s">
        <v>3</v>
      </c>
      <c r="D22" s="913"/>
      <c r="E22" s="914">
        <v>0.2</v>
      </c>
      <c r="F22" s="914"/>
      <c r="G22" s="914"/>
      <c r="H22" s="868">
        <f>E22*(E12+H19)</f>
        <v>300</v>
      </c>
      <c r="I22" s="868"/>
      <c r="J22" s="868"/>
      <c r="K22" s="145"/>
      <c r="L22" s="145"/>
      <c r="M22" s="145"/>
      <c r="N22" s="145"/>
      <c r="O22" s="145"/>
    </row>
    <row r="23" spans="1:15" x14ac:dyDescent="0.25">
      <c r="A23" s="478" t="s">
        <v>7</v>
      </c>
      <c r="B23" s="479"/>
      <c r="C23" s="284" t="s">
        <v>41</v>
      </c>
      <c r="D23" s="286"/>
      <c r="E23" s="877">
        <v>2.5000000000000001E-2</v>
      </c>
      <c r="F23" s="877"/>
      <c r="G23" s="877"/>
      <c r="H23" s="868">
        <v>0</v>
      </c>
      <c r="I23" s="868"/>
      <c r="J23" s="868"/>
      <c r="K23" s="145"/>
      <c r="L23" s="145"/>
      <c r="M23" s="145"/>
      <c r="N23" s="145"/>
      <c r="O23" s="145"/>
    </row>
    <row r="24" spans="1:15" x14ac:dyDescent="0.25">
      <c r="A24" s="478" t="s">
        <v>8</v>
      </c>
      <c r="B24" s="479"/>
      <c r="C24" s="915" t="s">
        <v>42</v>
      </c>
      <c r="D24" s="916"/>
      <c r="E24" s="917">
        <v>0.03</v>
      </c>
      <c r="F24" s="917"/>
      <c r="G24" s="917"/>
      <c r="H24" s="868">
        <v>0</v>
      </c>
      <c r="I24" s="868"/>
      <c r="J24" s="868"/>
      <c r="K24" s="145"/>
      <c r="L24" s="145"/>
      <c r="M24" s="145"/>
      <c r="N24" s="145"/>
      <c r="O24" s="145"/>
    </row>
    <row r="25" spans="1:15" x14ac:dyDescent="0.25">
      <c r="A25" s="478" t="s">
        <v>9</v>
      </c>
      <c r="B25" s="479"/>
      <c r="C25" s="284" t="s">
        <v>43</v>
      </c>
      <c r="D25" s="286"/>
      <c r="E25" s="877">
        <v>1.4999999999999999E-2</v>
      </c>
      <c r="F25" s="877"/>
      <c r="G25" s="877"/>
      <c r="H25" s="868">
        <v>0</v>
      </c>
      <c r="I25" s="868"/>
      <c r="J25" s="868"/>
      <c r="K25" s="145"/>
      <c r="L25" s="145"/>
      <c r="M25" s="145"/>
      <c r="N25" s="145"/>
      <c r="O25" s="145"/>
    </row>
    <row r="26" spans="1:15" x14ac:dyDescent="0.25">
      <c r="A26" s="478" t="s">
        <v>10</v>
      </c>
      <c r="B26" s="479"/>
      <c r="C26" s="284" t="s">
        <v>44</v>
      </c>
      <c r="D26" s="286"/>
      <c r="E26" s="877">
        <v>0.01</v>
      </c>
      <c r="F26" s="877"/>
      <c r="G26" s="877"/>
      <c r="H26" s="868">
        <v>0</v>
      </c>
      <c r="I26" s="868"/>
      <c r="J26" s="868"/>
      <c r="K26" s="145"/>
      <c r="L26" s="145"/>
      <c r="M26" s="145"/>
      <c r="N26" s="145"/>
      <c r="O26" s="145"/>
    </row>
    <row r="27" spans="1:15" x14ac:dyDescent="0.25">
      <c r="A27" s="478" t="s">
        <v>11</v>
      </c>
      <c r="B27" s="479"/>
      <c r="C27" s="284" t="s">
        <v>6</v>
      </c>
      <c r="D27" s="286"/>
      <c r="E27" s="877">
        <v>6.0000000000000001E-3</v>
      </c>
      <c r="F27" s="877"/>
      <c r="G27" s="877"/>
      <c r="H27" s="868">
        <v>0</v>
      </c>
      <c r="I27" s="868"/>
      <c r="J27" s="868"/>
      <c r="K27" s="145"/>
      <c r="L27" s="145"/>
      <c r="M27" s="145"/>
      <c r="N27" s="145"/>
      <c r="O27" s="145"/>
    </row>
    <row r="28" spans="1:15" x14ac:dyDescent="0.25">
      <c r="A28" s="478" t="s">
        <v>39</v>
      </c>
      <c r="B28" s="479"/>
      <c r="C28" s="284" t="s">
        <v>5</v>
      </c>
      <c r="D28" s="286"/>
      <c r="E28" s="877">
        <v>2E-3</v>
      </c>
      <c r="F28" s="877"/>
      <c r="G28" s="877"/>
      <c r="H28" s="868">
        <v>0</v>
      </c>
      <c r="I28" s="868"/>
      <c r="J28" s="868"/>
      <c r="K28" s="145"/>
      <c r="L28" s="145"/>
      <c r="M28" s="145"/>
      <c r="N28" s="145"/>
      <c r="O28" s="145"/>
    </row>
    <row r="29" spans="1:15" x14ac:dyDescent="0.25">
      <c r="A29" s="478" t="s">
        <v>40</v>
      </c>
      <c r="B29" s="479"/>
      <c r="C29" s="284" t="s">
        <v>4</v>
      </c>
      <c r="D29" s="285"/>
      <c r="E29" s="909">
        <v>0.08</v>
      </c>
      <c r="F29" s="910"/>
      <c r="G29" s="911"/>
      <c r="H29" s="868">
        <v>0</v>
      </c>
      <c r="I29" s="868"/>
      <c r="J29" s="868"/>
      <c r="K29" s="145"/>
      <c r="L29" s="145"/>
      <c r="M29" s="145"/>
      <c r="N29" s="145"/>
      <c r="O29" s="145"/>
    </row>
    <row r="30" spans="1:15" ht="15.75" thickBot="1" x14ac:dyDescent="0.3">
      <c r="A30" s="878" t="s">
        <v>36</v>
      </c>
      <c r="B30" s="878"/>
      <c r="C30" s="878"/>
      <c r="D30" s="878"/>
      <c r="E30" s="879">
        <f>SUM(E22:G29)</f>
        <v>0.36800000000000005</v>
      </c>
      <c r="F30" s="880"/>
      <c r="G30" s="881"/>
      <c r="H30" s="869">
        <f>SUM(H22:J29)</f>
        <v>300</v>
      </c>
      <c r="I30" s="869"/>
      <c r="J30" s="869"/>
      <c r="K30" s="145"/>
      <c r="L30" s="145"/>
      <c r="M30" s="145"/>
      <c r="N30" s="145"/>
      <c r="O30" s="145"/>
    </row>
    <row r="31" spans="1:15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5" x14ac:dyDescent="0.25">
      <c r="A32" s="478" t="s">
        <v>2</v>
      </c>
      <c r="B32" s="479"/>
      <c r="C32" s="912" t="s">
        <v>46</v>
      </c>
      <c r="D32" s="913"/>
      <c r="E32" s="914"/>
      <c r="F32" s="914"/>
      <c r="G32" s="914"/>
      <c r="H32" s="868">
        <v>0</v>
      </c>
      <c r="I32" s="868"/>
      <c r="J32" s="868"/>
      <c r="K32" s="145"/>
      <c r="L32" s="145"/>
      <c r="M32" s="145"/>
      <c r="N32" s="145"/>
      <c r="O32" s="145"/>
    </row>
    <row r="33" spans="1:15" x14ac:dyDescent="0.25">
      <c r="A33" s="478" t="s">
        <v>7</v>
      </c>
      <c r="B33" s="479"/>
      <c r="C33" s="284" t="s">
        <v>47</v>
      </c>
      <c r="D33" s="286"/>
      <c r="E33" s="877"/>
      <c r="F33" s="877"/>
      <c r="G33" s="877"/>
      <c r="H33" s="868"/>
      <c r="I33" s="868"/>
      <c r="J33" s="868"/>
      <c r="K33" s="145"/>
      <c r="L33" s="145"/>
      <c r="M33" s="145"/>
      <c r="N33" s="145"/>
      <c r="O33" s="145"/>
    </row>
    <row r="34" spans="1:15" x14ac:dyDescent="0.25">
      <c r="A34" s="478" t="s">
        <v>8</v>
      </c>
      <c r="B34" s="479"/>
      <c r="C34" s="284" t="s">
        <v>49</v>
      </c>
      <c r="D34" s="286"/>
      <c r="E34" s="877"/>
      <c r="F34" s="877"/>
      <c r="G34" s="877"/>
      <c r="H34" s="868"/>
      <c r="I34" s="868"/>
      <c r="J34" s="868"/>
      <c r="K34" s="145"/>
      <c r="L34" s="145"/>
      <c r="M34" s="145"/>
      <c r="N34" s="145"/>
      <c r="O34" s="145"/>
    </row>
    <row r="35" spans="1:15" x14ac:dyDescent="0.25">
      <c r="A35" s="478" t="s">
        <v>9</v>
      </c>
      <c r="B35" s="479"/>
      <c r="C35" s="478" t="s">
        <v>28</v>
      </c>
      <c r="D35" s="479"/>
      <c r="E35" s="877"/>
      <c r="F35" s="877"/>
      <c r="G35" s="877"/>
      <c r="H35" s="868">
        <v>25.95</v>
      </c>
      <c r="I35" s="868"/>
      <c r="J35" s="868"/>
      <c r="K35" s="145"/>
      <c r="L35" s="145"/>
      <c r="M35" s="145"/>
      <c r="N35" s="145"/>
      <c r="O35" s="145"/>
    </row>
    <row r="36" spans="1:15" ht="15.75" thickBot="1" x14ac:dyDescent="0.3">
      <c r="A36" s="905" t="s">
        <v>38</v>
      </c>
      <c r="B36" s="906"/>
      <c r="C36" s="906"/>
      <c r="D36" s="906"/>
      <c r="E36" s="906"/>
      <c r="F36" s="906"/>
      <c r="G36" s="907"/>
      <c r="H36" s="867">
        <f>SUM(H32:J35)</f>
        <v>25.95</v>
      </c>
      <c r="I36" s="867"/>
      <c r="J36" s="867"/>
      <c r="K36" s="145"/>
      <c r="L36" s="145"/>
      <c r="M36" s="145"/>
      <c r="N36" s="145"/>
      <c r="O36" s="145"/>
    </row>
    <row r="37" spans="1:15" ht="15.75" thickBot="1" x14ac:dyDescent="0.3">
      <c r="A37" s="882" t="s">
        <v>72</v>
      </c>
      <c r="B37" s="883"/>
      <c r="C37" s="883"/>
      <c r="D37" s="947"/>
      <c r="E37" s="938">
        <f>H19+H30+H36</f>
        <v>325.95</v>
      </c>
      <c r="F37" s="885"/>
      <c r="G37" s="885"/>
      <c r="H37" s="885"/>
      <c r="I37" s="885"/>
      <c r="J37" s="886"/>
      <c r="K37" s="145"/>
      <c r="L37" s="145"/>
      <c r="M37" s="145"/>
      <c r="N37" s="145"/>
      <c r="O37" s="145"/>
    </row>
    <row r="38" spans="1:15" ht="10.5" customHeight="1" thickBot="1" x14ac:dyDescent="0.3">
      <c r="A38" s="908"/>
      <c r="B38" s="908"/>
      <c r="C38" s="908"/>
      <c r="D38" s="908"/>
      <c r="E38" s="908"/>
      <c r="F38" s="908"/>
      <c r="G38" s="908"/>
      <c r="H38" s="908"/>
      <c r="I38" s="908"/>
      <c r="J38" s="908"/>
      <c r="K38" s="145"/>
      <c r="L38" s="145"/>
      <c r="M38" s="145"/>
      <c r="N38" s="145"/>
      <c r="O38" s="145"/>
    </row>
    <row r="39" spans="1:15" ht="27.75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5" x14ac:dyDescent="0.25">
      <c r="A40" s="962" t="s">
        <v>2</v>
      </c>
      <c r="B40" s="963"/>
      <c r="C40" s="454" t="s">
        <v>51</v>
      </c>
      <c r="D40" s="455"/>
      <c r="E40" s="150"/>
      <c r="F40" s="151"/>
      <c r="G40" s="152"/>
      <c r="H40" s="870">
        <v>0</v>
      </c>
      <c r="I40" s="871"/>
      <c r="J40" s="455"/>
      <c r="K40" s="145"/>
      <c r="L40" s="145"/>
      <c r="M40" s="145"/>
      <c r="N40" s="145"/>
      <c r="O40" s="145"/>
    </row>
    <row r="41" spans="1:15" x14ac:dyDescent="0.25">
      <c r="A41" s="962" t="s">
        <v>7</v>
      </c>
      <c r="B41" s="963"/>
      <c r="C41" s="454" t="s">
        <v>52</v>
      </c>
      <c r="D41" s="455"/>
      <c r="E41" s="150"/>
      <c r="F41" s="151"/>
      <c r="G41" s="152"/>
      <c r="H41" s="870">
        <f>H40*8%</f>
        <v>0</v>
      </c>
      <c r="I41" s="871"/>
      <c r="J41" s="455"/>
      <c r="K41" s="145"/>
      <c r="L41" s="145"/>
      <c r="M41" s="145"/>
      <c r="N41" s="145"/>
      <c r="O41" s="145"/>
    </row>
    <row r="42" spans="1:15" ht="27.75" customHeight="1" x14ac:dyDescent="0.25">
      <c r="A42" s="962" t="s">
        <v>8</v>
      </c>
      <c r="B42" s="963"/>
      <c r="C42" s="320" t="s">
        <v>53</v>
      </c>
      <c r="D42" s="321"/>
      <c r="E42" s="873"/>
      <c r="F42" s="874"/>
      <c r="G42" s="875"/>
      <c r="H42" s="868">
        <f>E42*E12</f>
        <v>0</v>
      </c>
      <c r="I42" s="868"/>
      <c r="J42" s="868"/>
      <c r="K42" s="145"/>
      <c r="L42" s="145"/>
      <c r="M42" s="145"/>
      <c r="N42" s="145"/>
      <c r="O42" s="145"/>
    </row>
    <row r="43" spans="1:15" x14ac:dyDescent="0.25">
      <c r="A43" s="964" t="s">
        <v>9</v>
      </c>
      <c r="B43" s="964"/>
      <c r="C43" s="284" t="s">
        <v>54</v>
      </c>
      <c r="D43" s="286"/>
      <c r="E43" s="877"/>
      <c r="F43" s="877"/>
      <c r="G43" s="877"/>
      <c r="H43" s="868">
        <v>0</v>
      </c>
      <c r="I43" s="868"/>
      <c r="J43" s="868"/>
      <c r="K43" s="145"/>
      <c r="L43" s="145"/>
      <c r="M43" s="145"/>
      <c r="N43" s="145"/>
      <c r="O43" s="145"/>
    </row>
    <row r="44" spans="1:15" ht="27.75" customHeight="1" x14ac:dyDescent="0.25">
      <c r="A44" s="964" t="s">
        <v>10</v>
      </c>
      <c r="B44" s="964"/>
      <c r="C44" s="478" t="s">
        <v>83</v>
      </c>
      <c r="D44" s="479"/>
      <c r="E44" s="877"/>
      <c r="F44" s="877"/>
      <c r="G44" s="877"/>
      <c r="H44" s="868">
        <f>H43*39.8%</f>
        <v>0</v>
      </c>
      <c r="I44" s="868"/>
      <c r="J44" s="868"/>
      <c r="K44" s="145"/>
      <c r="L44" s="145"/>
      <c r="M44" s="145"/>
      <c r="N44" s="145"/>
      <c r="O44" s="145"/>
    </row>
    <row r="45" spans="1:15" ht="28.5" customHeight="1" thickBot="1" x14ac:dyDescent="0.3">
      <c r="A45" s="475" t="s">
        <v>11</v>
      </c>
      <c r="B45" s="476"/>
      <c r="C45" s="834" t="s">
        <v>53</v>
      </c>
      <c r="D45" s="835"/>
      <c r="E45" s="897"/>
      <c r="F45" s="898"/>
      <c r="G45" s="899"/>
      <c r="H45" s="900">
        <v>0</v>
      </c>
      <c r="I45" s="901"/>
      <c r="J45" s="902"/>
      <c r="K45" s="145"/>
      <c r="L45" s="145"/>
      <c r="M45" s="145"/>
      <c r="N45" s="145"/>
      <c r="O45" s="145"/>
    </row>
    <row r="46" spans="1:15" ht="15" customHeight="1" thickBot="1" x14ac:dyDescent="0.3">
      <c r="A46" s="507" t="s">
        <v>333</v>
      </c>
      <c r="B46" s="508"/>
      <c r="C46" s="508"/>
      <c r="D46" s="508"/>
      <c r="E46" s="508"/>
      <c r="F46" s="508"/>
      <c r="G46" s="509"/>
      <c r="H46" s="894">
        <f>SUM(H40:J45)</f>
        <v>0</v>
      </c>
      <c r="I46" s="895"/>
      <c r="J46" s="896"/>
      <c r="K46" s="145"/>
      <c r="L46" s="145"/>
      <c r="M46" s="145"/>
      <c r="N46" s="145"/>
      <c r="O46" s="145"/>
    </row>
    <row r="47" spans="1:15" ht="10.5" customHeight="1" thickBot="1" x14ac:dyDescent="0.3">
      <c r="A47" s="147"/>
      <c r="B47" s="147"/>
      <c r="C47" s="143"/>
      <c r="D47" s="143"/>
      <c r="E47" s="153"/>
      <c r="F47" s="153"/>
      <c r="G47" s="153"/>
      <c r="H47" s="166"/>
      <c r="I47" s="166"/>
      <c r="J47" s="166"/>
      <c r="K47" s="145"/>
      <c r="L47" s="145"/>
      <c r="M47" s="145"/>
      <c r="N47" s="145"/>
      <c r="O47" s="145"/>
    </row>
    <row r="48" spans="1:15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5" x14ac:dyDescent="0.25">
      <c r="A49" s="962" t="s">
        <v>2</v>
      </c>
      <c r="B49" s="963"/>
      <c r="C49" s="454" t="s">
        <v>56</v>
      </c>
      <c r="D49" s="455"/>
      <c r="E49" s="150"/>
      <c r="F49" s="151"/>
      <c r="G49" s="152"/>
      <c r="H49" s="870">
        <f>E20/12*5%</f>
        <v>0</v>
      </c>
      <c r="I49" s="871"/>
      <c r="J49" s="455"/>
      <c r="K49" s="145"/>
      <c r="L49" s="145"/>
      <c r="M49" s="145"/>
      <c r="N49" s="145"/>
      <c r="O49" s="145"/>
    </row>
    <row r="50" spans="1:15" x14ac:dyDescent="0.25">
      <c r="A50" s="962" t="s">
        <v>7</v>
      </c>
      <c r="B50" s="963"/>
      <c r="C50" s="454" t="s">
        <v>57</v>
      </c>
      <c r="D50" s="455"/>
      <c r="E50" s="150"/>
      <c r="F50" s="151"/>
      <c r="G50" s="152"/>
      <c r="H50" s="870">
        <v>0</v>
      </c>
      <c r="I50" s="871"/>
      <c r="J50" s="455"/>
      <c r="K50" s="145"/>
      <c r="L50" s="145"/>
      <c r="M50" s="145"/>
      <c r="N50" s="145"/>
      <c r="O50" s="145"/>
    </row>
    <row r="51" spans="1:15" x14ac:dyDescent="0.25">
      <c r="A51" s="962" t="s">
        <v>8</v>
      </c>
      <c r="B51" s="963"/>
      <c r="C51" s="320" t="s">
        <v>58</v>
      </c>
      <c r="D51" s="321"/>
      <c r="E51" s="873"/>
      <c r="F51" s="874"/>
      <c r="G51" s="875"/>
      <c r="H51" s="868">
        <v>0</v>
      </c>
      <c r="I51" s="868"/>
      <c r="J51" s="868"/>
      <c r="K51" s="145"/>
      <c r="L51" s="145"/>
      <c r="M51" s="145"/>
      <c r="N51" s="145"/>
      <c r="O51" s="145"/>
    </row>
    <row r="52" spans="1:15" x14ac:dyDescent="0.25">
      <c r="A52" s="964" t="s">
        <v>9</v>
      </c>
      <c r="B52" s="964"/>
      <c r="C52" s="284" t="s">
        <v>59</v>
      </c>
      <c r="D52" s="286"/>
      <c r="E52" s="877"/>
      <c r="F52" s="877"/>
      <c r="G52" s="877"/>
      <c r="H52" s="868">
        <v>0</v>
      </c>
      <c r="I52" s="868"/>
      <c r="J52" s="868"/>
      <c r="K52" s="145"/>
      <c r="L52" s="145"/>
      <c r="M52" s="145"/>
      <c r="N52" s="145"/>
      <c r="O52" s="145"/>
    </row>
    <row r="53" spans="1:15" x14ac:dyDescent="0.25">
      <c r="A53" s="964" t="s">
        <v>10</v>
      </c>
      <c r="B53" s="964"/>
      <c r="C53" s="478" t="s">
        <v>60</v>
      </c>
      <c r="D53" s="479"/>
      <c r="E53" s="877"/>
      <c r="F53" s="877"/>
      <c r="G53" s="877"/>
      <c r="H53" s="868">
        <v>0</v>
      </c>
      <c r="I53" s="868"/>
      <c r="J53" s="868"/>
      <c r="K53" s="145"/>
      <c r="L53" s="145"/>
      <c r="M53" s="145"/>
      <c r="N53" s="145"/>
      <c r="O53" s="145"/>
    </row>
    <row r="54" spans="1:15" x14ac:dyDescent="0.25">
      <c r="A54" s="964" t="s">
        <v>11</v>
      </c>
      <c r="B54" s="964"/>
      <c r="C54" s="478" t="s">
        <v>61</v>
      </c>
      <c r="D54" s="479"/>
      <c r="E54" s="877"/>
      <c r="F54" s="877"/>
      <c r="G54" s="877"/>
      <c r="H54" s="868">
        <v>0</v>
      </c>
      <c r="I54" s="868"/>
      <c r="J54" s="868"/>
      <c r="K54" s="145"/>
      <c r="L54" s="145"/>
      <c r="M54" s="145"/>
      <c r="N54" s="145"/>
      <c r="O54" s="145"/>
    </row>
    <row r="55" spans="1:15" ht="27.75" customHeight="1" x14ac:dyDescent="0.25">
      <c r="A55" s="964" t="s">
        <v>39</v>
      </c>
      <c r="B55" s="964"/>
      <c r="C55" s="478" t="s">
        <v>62</v>
      </c>
      <c r="D55" s="479"/>
      <c r="E55" s="877"/>
      <c r="F55" s="877"/>
      <c r="G55" s="877"/>
      <c r="H55" s="868">
        <f>SUM(H49:J54)*39.8%</f>
        <v>0</v>
      </c>
      <c r="I55" s="868"/>
      <c r="J55" s="868"/>
      <c r="K55" s="145"/>
      <c r="L55" s="145"/>
      <c r="M55" s="145"/>
      <c r="N55" s="145"/>
      <c r="O55" s="145"/>
    </row>
    <row r="56" spans="1:15" ht="15.75" thickBot="1" x14ac:dyDescent="0.3">
      <c r="A56" s="878" t="s">
        <v>36</v>
      </c>
      <c r="B56" s="878"/>
      <c r="C56" s="878"/>
      <c r="D56" s="878"/>
      <c r="E56" s="879"/>
      <c r="F56" s="880"/>
      <c r="G56" s="881"/>
      <c r="H56" s="869">
        <f>SUM(H49:J55)</f>
        <v>0</v>
      </c>
      <c r="I56" s="869"/>
      <c r="J56" s="869"/>
      <c r="K56" s="145"/>
      <c r="L56" s="145"/>
      <c r="M56" s="145"/>
      <c r="N56" s="145"/>
      <c r="O56" s="145"/>
    </row>
    <row r="57" spans="1:15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5" ht="32.25" customHeight="1" x14ac:dyDescent="0.25">
      <c r="A58" s="962" t="s">
        <v>2</v>
      </c>
      <c r="B58" s="963"/>
      <c r="C58" s="454" t="s">
        <v>64</v>
      </c>
      <c r="D58" s="455"/>
      <c r="E58" s="150"/>
      <c r="F58" s="151"/>
      <c r="G58" s="152"/>
      <c r="H58" s="870">
        <v>0</v>
      </c>
      <c r="I58" s="871"/>
      <c r="J58" s="455"/>
      <c r="K58" s="145"/>
      <c r="L58" s="145"/>
      <c r="M58" s="145"/>
      <c r="N58" s="145"/>
      <c r="O58" s="145"/>
    </row>
    <row r="59" spans="1:15" ht="45" customHeight="1" x14ac:dyDescent="0.25">
      <c r="A59" s="962" t="s">
        <v>7</v>
      </c>
      <c r="B59" s="963"/>
      <c r="C59" s="454" t="s">
        <v>65</v>
      </c>
      <c r="D59" s="455"/>
      <c r="E59" s="150"/>
      <c r="F59" s="151"/>
      <c r="G59" s="152"/>
      <c r="H59" s="870">
        <f>H58*39.8%</f>
        <v>0</v>
      </c>
      <c r="I59" s="871"/>
      <c r="J59" s="455"/>
      <c r="K59" s="145"/>
      <c r="L59" s="145"/>
      <c r="M59" s="145"/>
      <c r="N59" s="145"/>
      <c r="O59" s="145"/>
    </row>
    <row r="60" spans="1:15" ht="42.75" customHeight="1" x14ac:dyDescent="0.25">
      <c r="A60" s="962" t="s">
        <v>8</v>
      </c>
      <c r="B60" s="963"/>
      <c r="C60" s="454" t="s">
        <v>66</v>
      </c>
      <c r="D60" s="455"/>
      <c r="E60" s="873"/>
      <c r="F60" s="874"/>
      <c r="G60" s="875"/>
      <c r="H60" s="868">
        <v>0</v>
      </c>
      <c r="I60" s="868"/>
      <c r="J60" s="868"/>
      <c r="K60" s="145"/>
      <c r="L60" s="145"/>
      <c r="M60" s="145"/>
      <c r="N60" s="145"/>
      <c r="O60" s="145"/>
    </row>
    <row r="61" spans="1:15" x14ac:dyDescent="0.25">
      <c r="A61" s="964" t="s">
        <v>9</v>
      </c>
      <c r="B61" s="964"/>
      <c r="C61" s="284" t="s">
        <v>67</v>
      </c>
      <c r="D61" s="286"/>
      <c r="E61" s="877"/>
      <c r="F61" s="877"/>
      <c r="G61" s="877"/>
      <c r="H61" s="868"/>
      <c r="I61" s="868"/>
      <c r="J61" s="868"/>
      <c r="K61" s="145"/>
      <c r="L61" s="145"/>
      <c r="M61" s="145"/>
      <c r="N61" s="145"/>
      <c r="O61" s="145"/>
    </row>
    <row r="62" spans="1:15" ht="15.75" thickBot="1" x14ac:dyDescent="0.3">
      <c r="A62" s="878" t="s">
        <v>36</v>
      </c>
      <c r="B62" s="878"/>
      <c r="C62" s="878"/>
      <c r="D62" s="878"/>
      <c r="E62" s="879"/>
      <c r="F62" s="880"/>
      <c r="G62" s="881"/>
      <c r="H62" s="869">
        <f>SUM(H58:J61)</f>
        <v>0</v>
      </c>
      <c r="I62" s="869"/>
      <c r="J62" s="869"/>
      <c r="K62" s="145"/>
      <c r="L62" s="145"/>
      <c r="M62" s="145"/>
      <c r="N62" s="145"/>
      <c r="O62" s="145"/>
    </row>
    <row r="63" spans="1:15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5" ht="29.25" customHeight="1" x14ac:dyDescent="0.25">
      <c r="A64" s="962" t="s">
        <v>2</v>
      </c>
      <c r="B64" s="963"/>
      <c r="C64" s="454" t="s">
        <v>69</v>
      </c>
      <c r="D64" s="455"/>
      <c r="E64" s="150"/>
      <c r="F64" s="151"/>
      <c r="G64" s="152"/>
      <c r="H64" s="870">
        <f>((((E18+(E18/3))*0.3333)/12)*2%)</f>
        <v>0</v>
      </c>
      <c r="I64" s="871"/>
      <c r="J64" s="455"/>
      <c r="K64" s="145"/>
      <c r="L64" s="145"/>
      <c r="M64" s="145"/>
      <c r="N64" s="145"/>
      <c r="O64" s="145"/>
    </row>
    <row r="65" spans="1:15" ht="29.25" customHeight="1" x14ac:dyDescent="0.25">
      <c r="A65" s="962" t="s">
        <v>7</v>
      </c>
      <c r="B65" s="963"/>
      <c r="C65" s="454" t="s">
        <v>70</v>
      </c>
      <c r="D65" s="455"/>
      <c r="E65" s="150"/>
      <c r="F65" s="151"/>
      <c r="G65" s="152"/>
      <c r="H65" s="870">
        <f>H64*39.8%</f>
        <v>0</v>
      </c>
      <c r="I65" s="871"/>
      <c r="J65" s="455"/>
      <c r="K65" s="145"/>
      <c r="L65" s="145"/>
      <c r="M65" s="145"/>
      <c r="N65" s="145"/>
      <c r="O65" s="145"/>
    </row>
    <row r="66" spans="1:15" ht="15.75" thickBot="1" x14ac:dyDescent="0.3">
      <c r="A66" s="872" t="s">
        <v>36</v>
      </c>
      <c r="B66" s="872"/>
      <c r="C66" s="872"/>
      <c r="D66" s="872"/>
      <c r="E66" s="864"/>
      <c r="F66" s="865"/>
      <c r="G66" s="866"/>
      <c r="H66" s="867">
        <f>SUM(H64:J65)</f>
        <v>0</v>
      </c>
      <c r="I66" s="867"/>
      <c r="J66" s="867"/>
      <c r="K66" s="145"/>
      <c r="L66" s="145"/>
      <c r="M66" s="145"/>
      <c r="N66" s="145"/>
      <c r="O66" s="145"/>
    </row>
    <row r="67" spans="1:15" ht="15.75" thickBot="1" x14ac:dyDescent="0.3">
      <c r="A67" s="882" t="s">
        <v>71</v>
      </c>
      <c r="B67" s="883"/>
      <c r="C67" s="883"/>
      <c r="D67" s="947"/>
      <c r="E67" s="938">
        <f>H66+H62+H56</f>
        <v>0</v>
      </c>
      <c r="F67" s="885"/>
      <c r="G67" s="885"/>
      <c r="H67" s="885"/>
      <c r="I67" s="885"/>
      <c r="J67" s="886"/>
      <c r="K67" s="145"/>
      <c r="L67" s="145"/>
      <c r="M67" s="145"/>
      <c r="N67" s="145"/>
      <c r="O67" s="145"/>
    </row>
    <row r="68" spans="1:15" ht="10.5" customHeight="1" thickBot="1" x14ac:dyDescent="0.3">
      <c r="A68" s="144"/>
      <c r="B68" s="144"/>
      <c r="C68" s="144"/>
      <c r="D68" s="144"/>
      <c r="E68" s="154"/>
      <c r="F68" s="154"/>
      <c r="G68" s="154"/>
      <c r="H68" s="144"/>
      <c r="I68" s="144"/>
      <c r="J68" s="144"/>
      <c r="K68" s="145"/>
      <c r="L68" s="145"/>
      <c r="M68" s="145"/>
      <c r="N68" s="145"/>
      <c r="O68" s="145"/>
    </row>
    <row r="69" spans="1:15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5" x14ac:dyDescent="0.25">
      <c r="A70" s="962" t="s">
        <v>2</v>
      </c>
      <c r="B70" s="963"/>
      <c r="C70" s="454" t="s">
        <v>74</v>
      </c>
      <c r="D70" s="455"/>
      <c r="E70" s="892"/>
      <c r="F70" s="890"/>
      <c r="G70" s="891"/>
      <c r="H70" s="870">
        <v>200</v>
      </c>
      <c r="I70" s="871"/>
      <c r="J70" s="455"/>
      <c r="K70" s="145"/>
      <c r="L70" s="145"/>
      <c r="M70" s="145"/>
      <c r="N70" s="145"/>
      <c r="O70" s="145"/>
    </row>
    <row r="71" spans="1:15" x14ac:dyDescent="0.25">
      <c r="A71" s="962" t="s">
        <v>7</v>
      </c>
      <c r="B71" s="963"/>
      <c r="C71" s="454" t="s">
        <v>75</v>
      </c>
      <c r="D71" s="455"/>
      <c r="E71" s="150"/>
      <c r="F71" s="151"/>
      <c r="G71" s="152"/>
      <c r="H71" s="870">
        <f>1980/12</f>
        <v>165</v>
      </c>
      <c r="I71" s="871"/>
      <c r="J71" s="455"/>
      <c r="K71" s="145"/>
      <c r="L71" s="145"/>
      <c r="M71" s="145"/>
      <c r="N71" s="145"/>
      <c r="O71" s="145"/>
    </row>
    <row r="72" spans="1:15" x14ac:dyDescent="0.25">
      <c r="A72" s="962" t="s">
        <v>8</v>
      </c>
      <c r="B72" s="963"/>
      <c r="C72" s="320" t="s">
        <v>76</v>
      </c>
      <c r="D72" s="321"/>
      <c r="E72" s="873"/>
      <c r="F72" s="874"/>
      <c r="G72" s="875"/>
      <c r="H72" s="868">
        <f>3000/120</f>
        <v>25</v>
      </c>
      <c r="I72" s="868"/>
      <c r="J72" s="868"/>
      <c r="K72" s="145"/>
      <c r="L72" s="145"/>
      <c r="M72" s="145"/>
      <c r="N72" s="145"/>
      <c r="O72" s="145"/>
    </row>
    <row r="73" spans="1:15" ht="15.75" thickBot="1" x14ac:dyDescent="0.3">
      <c r="A73" s="965" t="s">
        <v>9</v>
      </c>
      <c r="B73" s="965"/>
      <c r="C73" s="526" t="s">
        <v>28</v>
      </c>
      <c r="D73" s="528"/>
      <c r="E73" s="887"/>
      <c r="F73" s="887"/>
      <c r="G73" s="887"/>
      <c r="H73" s="888">
        <f>E31/30/12*15*8%</f>
        <v>0</v>
      </c>
      <c r="I73" s="888"/>
      <c r="J73" s="888"/>
      <c r="K73" s="145"/>
      <c r="L73" s="145"/>
      <c r="M73" s="145"/>
      <c r="N73" s="145"/>
      <c r="O73" s="145"/>
    </row>
    <row r="74" spans="1:15" ht="15" customHeight="1" thickBot="1" x14ac:dyDescent="0.3">
      <c r="A74" s="507" t="s">
        <v>336</v>
      </c>
      <c r="B74" s="508"/>
      <c r="C74" s="508"/>
      <c r="D74" s="508"/>
      <c r="E74" s="508"/>
      <c r="F74" s="508"/>
      <c r="G74" s="509"/>
      <c r="H74" s="894">
        <f>SUM(H70:J73)</f>
        <v>390</v>
      </c>
      <c r="I74" s="895"/>
      <c r="J74" s="896"/>
      <c r="K74" s="145"/>
      <c r="L74" s="145"/>
      <c r="M74" s="145"/>
      <c r="N74" s="145"/>
      <c r="O74" s="145"/>
    </row>
    <row r="75" spans="1:15" ht="10.5" customHeight="1" thickBot="1" x14ac:dyDescent="0.3">
      <c r="A75" s="147"/>
      <c r="B75" s="147"/>
      <c r="C75" s="143"/>
      <c r="D75" s="143"/>
      <c r="E75" s="153"/>
      <c r="F75" s="153"/>
      <c r="G75" s="153"/>
      <c r="H75" s="166"/>
      <c r="I75" s="166"/>
      <c r="J75" s="166"/>
      <c r="K75" s="145"/>
      <c r="L75" s="145"/>
      <c r="M75" s="145"/>
      <c r="N75" s="145"/>
      <c r="O75" s="145"/>
    </row>
    <row r="76" spans="1:15" ht="27.75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5" x14ac:dyDescent="0.25">
      <c r="A77" s="962" t="s">
        <v>2</v>
      </c>
      <c r="B77" s="963"/>
      <c r="C77" s="454" t="s">
        <v>77</v>
      </c>
      <c r="D77" s="455"/>
      <c r="E77" s="889">
        <v>7.0000000000000007E-2</v>
      </c>
      <c r="F77" s="890"/>
      <c r="G77" s="891"/>
      <c r="H77" s="870">
        <f>(H74+E67+H46+E37+E12)*E77</f>
        <v>155.1165</v>
      </c>
      <c r="I77" s="871"/>
      <c r="J77" s="455"/>
      <c r="K77" s="145"/>
      <c r="L77" s="145"/>
      <c r="M77" s="145"/>
      <c r="N77" s="145"/>
      <c r="O77" s="145"/>
    </row>
    <row r="78" spans="1:15" x14ac:dyDescent="0.25">
      <c r="A78" s="962" t="s">
        <v>7</v>
      </c>
      <c r="B78" s="963"/>
      <c r="C78" s="454" t="s">
        <v>12</v>
      </c>
      <c r="D78" s="455"/>
      <c r="E78" s="889">
        <v>7.577530628885254E-2</v>
      </c>
      <c r="F78" s="890"/>
      <c r="G78" s="891"/>
      <c r="H78" s="870">
        <f>E78*(H74+E67+H46+E37+E12)</f>
        <v>167.91428997078276</v>
      </c>
      <c r="I78" s="871"/>
      <c r="J78" s="455"/>
      <c r="K78" s="145"/>
      <c r="L78" s="145"/>
      <c r="M78" s="145"/>
      <c r="N78" s="145"/>
      <c r="O78" s="145"/>
    </row>
    <row r="79" spans="1:15" x14ac:dyDescent="0.25">
      <c r="A79" s="962" t="s">
        <v>8</v>
      </c>
      <c r="B79" s="963"/>
      <c r="C79" s="320" t="s">
        <v>78</v>
      </c>
      <c r="D79" s="321"/>
      <c r="E79" s="944">
        <v>0.85750000000000004</v>
      </c>
      <c r="F79" s="945"/>
      <c r="G79" s="946"/>
      <c r="H79" s="868">
        <f>(H74+E67+H46+E37+E12)/E79</f>
        <v>2584.1982507288626</v>
      </c>
      <c r="I79" s="868"/>
      <c r="J79" s="868"/>
      <c r="K79" s="145"/>
      <c r="L79" s="145"/>
      <c r="M79" s="145"/>
      <c r="N79" s="145"/>
      <c r="O79" s="145"/>
    </row>
    <row r="80" spans="1:15" x14ac:dyDescent="0.25">
      <c r="A80" s="964" t="s">
        <v>9</v>
      </c>
      <c r="B80" s="964"/>
      <c r="C80" s="284" t="s">
        <v>79</v>
      </c>
      <c r="D80" s="286"/>
      <c r="E80" s="877">
        <v>1.6500000000000001E-2</v>
      </c>
      <c r="F80" s="877"/>
      <c r="G80" s="877"/>
      <c r="H80" s="868">
        <f>E80*D88</f>
        <v>62.413560000000004</v>
      </c>
      <c r="I80" s="868"/>
      <c r="J80" s="868"/>
      <c r="K80" s="145"/>
      <c r="L80" s="145"/>
      <c r="M80" s="145"/>
      <c r="N80" s="145"/>
      <c r="O80" s="145"/>
    </row>
    <row r="81" spans="1:15" x14ac:dyDescent="0.25">
      <c r="A81" s="964" t="s">
        <v>9</v>
      </c>
      <c r="B81" s="964"/>
      <c r="C81" s="284" t="s">
        <v>80</v>
      </c>
      <c r="D81" s="286"/>
      <c r="E81" s="877">
        <v>7.5999999999999998E-2</v>
      </c>
      <c r="F81" s="877"/>
      <c r="G81" s="877"/>
      <c r="H81" s="868">
        <f>E81*D88</f>
        <v>287.48063999999999</v>
      </c>
      <c r="I81" s="868"/>
      <c r="J81" s="868"/>
      <c r="K81" s="145"/>
      <c r="L81" s="145"/>
      <c r="M81" s="145"/>
      <c r="N81" s="145"/>
      <c r="O81" s="145"/>
    </row>
    <row r="82" spans="1:15" x14ac:dyDescent="0.25">
      <c r="A82" s="964" t="s">
        <v>10</v>
      </c>
      <c r="B82" s="964"/>
      <c r="C82" s="284" t="s">
        <v>81</v>
      </c>
      <c r="D82" s="286"/>
      <c r="E82" s="877"/>
      <c r="F82" s="877"/>
      <c r="G82" s="877"/>
      <c r="H82" s="868"/>
      <c r="I82" s="868"/>
      <c r="J82" s="868"/>
      <c r="K82" s="145"/>
      <c r="L82" s="145"/>
      <c r="M82" s="145"/>
      <c r="N82" s="145"/>
      <c r="O82" s="145"/>
    </row>
    <row r="83" spans="1:15" ht="15.75" thickBot="1" x14ac:dyDescent="0.3">
      <c r="A83" s="965" t="s">
        <v>11</v>
      </c>
      <c r="B83" s="965"/>
      <c r="C83" s="526" t="s">
        <v>82</v>
      </c>
      <c r="D83" s="528"/>
      <c r="E83" s="887">
        <v>0.05</v>
      </c>
      <c r="F83" s="887"/>
      <c r="G83" s="887"/>
      <c r="H83" s="888">
        <f>E83*D88</f>
        <v>189.13200000000001</v>
      </c>
      <c r="I83" s="888"/>
      <c r="J83" s="888"/>
      <c r="K83" s="145"/>
      <c r="L83" s="145"/>
      <c r="M83" s="145"/>
      <c r="N83" s="145"/>
      <c r="O83" s="145"/>
    </row>
    <row r="84" spans="1:15" ht="15" customHeight="1" thickBot="1" x14ac:dyDescent="0.3">
      <c r="A84" s="507" t="s">
        <v>340</v>
      </c>
      <c r="B84" s="508"/>
      <c r="C84" s="508"/>
      <c r="D84" s="508"/>
      <c r="E84" s="508"/>
      <c r="F84" s="508"/>
      <c r="G84" s="509"/>
      <c r="H84" s="894">
        <f>H77+H78+H80+H81+H83</f>
        <v>862.05698997078275</v>
      </c>
      <c r="I84" s="895"/>
      <c r="J84" s="896"/>
    </row>
    <row r="85" spans="1:15" ht="10.5" customHeight="1" thickBot="1" x14ac:dyDescent="0.3">
      <c r="A85" s="147"/>
      <c r="B85" s="147"/>
      <c r="C85" s="143"/>
      <c r="D85" s="143"/>
      <c r="E85" s="153"/>
      <c r="F85" s="153"/>
      <c r="G85" s="153"/>
      <c r="H85" s="166"/>
      <c r="I85" s="166"/>
      <c r="J85" s="166"/>
    </row>
    <row r="86" spans="1:15" ht="15.75" thickBot="1" x14ac:dyDescent="0.3">
      <c r="A86" s="939" t="s">
        <v>85</v>
      </c>
      <c r="B86" s="940"/>
      <c r="C86" s="940"/>
      <c r="D86" s="940"/>
      <c r="E86" s="940"/>
      <c r="F86" s="940"/>
      <c r="G86" s="948"/>
      <c r="H86" s="1015">
        <f>SUM(H84+H74+E67+H46+E37+E12)</f>
        <v>3078.0069899707828</v>
      </c>
      <c r="I86" s="1004"/>
      <c r="J86" s="1005"/>
    </row>
    <row r="87" spans="1:15" x14ac:dyDescent="0.25">
      <c r="A87" s="145"/>
      <c r="B87" s="145"/>
      <c r="C87" s="145"/>
      <c r="D87" s="145"/>
      <c r="E87" s="133"/>
      <c r="F87" s="133"/>
      <c r="G87" s="133"/>
      <c r="H87" s="145"/>
      <c r="I87" s="145"/>
      <c r="J87" s="145"/>
    </row>
    <row r="88" spans="1:15" ht="15.75" thickBot="1" x14ac:dyDescent="0.3">
      <c r="D88" s="167">
        <v>3782.64</v>
      </c>
    </row>
  </sheetData>
  <mergeCells count="230">
    <mergeCell ref="A1:J1"/>
    <mergeCell ref="A84:G84"/>
    <mergeCell ref="A74:G74"/>
    <mergeCell ref="A46:G46"/>
    <mergeCell ref="A2:C2"/>
    <mergeCell ref="D2:J2"/>
    <mergeCell ref="A3:J3"/>
    <mergeCell ref="A4:J4"/>
    <mergeCell ref="A5:J5"/>
    <mergeCell ref="B6:D6"/>
    <mergeCell ref="E6:J6"/>
    <mergeCell ref="B10:D10"/>
    <mergeCell ref="E10:J10"/>
    <mergeCell ref="B11:D11"/>
    <mergeCell ref="E11:J11"/>
    <mergeCell ref="A12:D12"/>
    <mergeCell ref="E12:J12"/>
    <mergeCell ref="B7:D7"/>
    <mergeCell ref="E7:J7"/>
    <mergeCell ref="B8:D8"/>
    <mergeCell ref="E8:J8"/>
    <mergeCell ref="B9:D9"/>
    <mergeCell ref="E9:J9"/>
    <mergeCell ref="B18:D18"/>
    <mergeCell ref="E18:G18"/>
    <mergeCell ref="H18:J18"/>
    <mergeCell ref="A19:G19"/>
    <mergeCell ref="H19:J19"/>
    <mergeCell ref="B20:D20"/>
    <mergeCell ref="E20:G20"/>
    <mergeCell ref="H20:J20"/>
    <mergeCell ref="A13:D13"/>
    <mergeCell ref="E13:J13"/>
    <mergeCell ref="A14:J14"/>
    <mergeCell ref="A15:J15"/>
    <mergeCell ref="A16:J16"/>
    <mergeCell ref="B17:D17"/>
    <mergeCell ref="E17:G17"/>
    <mergeCell ref="H17:J17"/>
    <mergeCell ref="A24:B24"/>
    <mergeCell ref="C24:D24"/>
    <mergeCell ref="E24:G24"/>
    <mergeCell ref="H24:J24"/>
    <mergeCell ref="A25:B25"/>
    <mergeCell ref="C25:D25"/>
    <mergeCell ref="E25:G25"/>
    <mergeCell ref="H25:J25"/>
    <mergeCell ref="A21:J21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rowBreaks count="1" manualBreakCount="1">
    <brk id="68" max="16383" man="1"/>
  </rowBreaks>
  <legacy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/>
  </sheetPr>
  <dimension ref="A1:L89"/>
  <sheetViews>
    <sheetView workbookViewId="0">
      <selection activeCell="D2" sqref="D2:J2"/>
    </sheetView>
  </sheetViews>
  <sheetFormatPr defaultRowHeight="15" x14ac:dyDescent="0.25"/>
  <cols>
    <col min="1" max="1" width="6.7109375" style="146" customWidth="1"/>
    <col min="2" max="2" width="3.28515625" style="146" customWidth="1"/>
    <col min="3" max="3" width="15.28515625" style="134" customWidth="1"/>
    <col min="4" max="4" width="34.85546875" style="134" customWidth="1"/>
    <col min="5" max="5" width="3.140625" style="116" customWidth="1"/>
    <col min="6" max="6" width="2.42578125" style="116" customWidth="1"/>
    <col min="7" max="7" width="3.42578125" style="116" customWidth="1"/>
    <col min="8" max="8" width="4.140625" style="161" customWidth="1"/>
    <col min="9" max="9" width="3.7109375" style="161" hidden="1" customWidth="1"/>
    <col min="10" max="10" width="10.5703125" style="161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411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2" x14ac:dyDescent="0.25">
      <c r="A6" s="123" t="s">
        <v>2</v>
      </c>
      <c r="B6" s="606" t="s">
        <v>1</v>
      </c>
      <c r="C6" s="607"/>
      <c r="D6" s="608"/>
      <c r="E6" s="1009">
        <v>1752</v>
      </c>
      <c r="F6" s="1009"/>
      <c r="G6" s="1009"/>
      <c r="H6" s="1009"/>
      <c r="I6" s="1009"/>
      <c r="J6" s="1009"/>
      <c r="K6" s="136"/>
    </row>
    <row r="7" spans="1:12" x14ac:dyDescent="0.25">
      <c r="A7" s="123" t="s">
        <v>7</v>
      </c>
      <c r="B7" s="606" t="s">
        <v>25</v>
      </c>
      <c r="C7" s="607"/>
      <c r="D7" s="608"/>
      <c r="E7" s="1011"/>
      <c r="F7" s="1012"/>
      <c r="G7" s="1012"/>
      <c r="H7" s="1012"/>
      <c r="I7" s="1012"/>
      <c r="J7" s="1013"/>
      <c r="K7" s="136"/>
    </row>
    <row r="8" spans="1:12" x14ac:dyDescent="0.25">
      <c r="A8" s="123" t="s">
        <v>8</v>
      </c>
      <c r="B8" s="606" t="s">
        <v>26</v>
      </c>
      <c r="C8" s="607"/>
      <c r="D8" s="608"/>
      <c r="E8" s="1011"/>
      <c r="F8" s="1012"/>
      <c r="G8" s="1012"/>
      <c r="H8" s="1012"/>
      <c r="I8" s="1012"/>
      <c r="J8" s="1013"/>
      <c r="K8" s="136"/>
    </row>
    <row r="9" spans="1:12" x14ac:dyDescent="0.25">
      <c r="A9" s="123" t="s">
        <v>9</v>
      </c>
      <c r="B9" s="606" t="s">
        <v>27</v>
      </c>
      <c r="C9" s="607"/>
      <c r="D9" s="608"/>
      <c r="E9" s="1011"/>
      <c r="F9" s="1012"/>
      <c r="G9" s="1012"/>
      <c r="H9" s="1012"/>
      <c r="I9" s="1012"/>
      <c r="J9" s="1013"/>
      <c r="K9" s="136"/>
    </row>
    <row r="10" spans="1:12" x14ac:dyDescent="0.25">
      <c r="A10" s="123" t="s">
        <v>10</v>
      </c>
      <c r="B10" s="606" t="s">
        <v>28</v>
      </c>
      <c r="C10" s="607"/>
      <c r="D10" s="608"/>
      <c r="E10" s="1009">
        <f>E6*30%</f>
        <v>525.6</v>
      </c>
      <c r="F10" s="1009"/>
      <c r="G10" s="1009"/>
      <c r="H10" s="1009"/>
      <c r="I10" s="1009"/>
      <c r="J10" s="1009"/>
      <c r="K10" s="136"/>
    </row>
    <row r="11" spans="1:12" ht="32.25" customHeight="1" thickBot="1" x14ac:dyDescent="0.3">
      <c r="A11" s="122" t="s">
        <v>11</v>
      </c>
      <c r="B11" s="609" t="s">
        <v>92</v>
      </c>
      <c r="C11" s="610"/>
      <c r="D11" s="611"/>
      <c r="E11" s="1010">
        <f>1045*40%</f>
        <v>418</v>
      </c>
      <c r="F11" s="1010"/>
      <c r="G11" s="1010"/>
      <c r="H11" s="1010"/>
      <c r="I11" s="1010"/>
      <c r="J11" s="1010"/>
      <c r="K11" s="136"/>
    </row>
    <row r="12" spans="1:12" ht="15.75" thickBot="1" x14ac:dyDescent="0.3">
      <c r="A12" s="458" t="s">
        <v>330</v>
      </c>
      <c r="B12" s="459"/>
      <c r="C12" s="459"/>
      <c r="D12" s="460"/>
      <c r="E12" s="547">
        <f>SUM(E6:J11)</f>
        <v>2695.6</v>
      </c>
      <c r="F12" s="485"/>
      <c r="G12" s="485"/>
      <c r="H12" s="485"/>
      <c r="I12" s="485"/>
      <c r="J12" s="486"/>
      <c r="K12" s="136"/>
    </row>
    <row r="13" spans="1:12" ht="29.25" customHeight="1" x14ac:dyDescent="0.25">
      <c r="A13" s="551" t="s">
        <v>29</v>
      </c>
      <c r="B13" s="552"/>
      <c r="C13" s="552"/>
      <c r="D13" s="553"/>
      <c r="E13" s="548">
        <f>E12*E30</f>
        <v>991.98080000000004</v>
      </c>
      <c r="F13" s="549"/>
      <c r="G13" s="549"/>
      <c r="H13" s="549"/>
      <c r="I13" s="549"/>
      <c r="J13" s="550"/>
      <c r="K13" s="136"/>
    </row>
    <row r="14" spans="1:12" ht="10.5" customHeight="1" thickBot="1" x14ac:dyDescent="0.3">
      <c r="A14" s="481"/>
      <c r="B14" s="481"/>
      <c r="C14" s="481"/>
      <c r="D14" s="481"/>
      <c r="E14" s="481"/>
      <c r="F14" s="481"/>
      <c r="G14" s="481"/>
      <c r="H14" s="481"/>
      <c r="I14" s="481"/>
      <c r="J14" s="481"/>
      <c r="K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x14ac:dyDescent="0.25">
      <c r="A17" s="123" t="s">
        <v>2</v>
      </c>
      <c r="B17" s="482" t="s">
        <v>125</v>
      </c>
      <c r="C17" s="521"/>
      <c r="D17" s="483"/>
      <c r="E17" s="322">
        <v>8.3299999999999999E-2</v>
      </c>
      <c r="F17" s="323"/>
      <c r="G17" s="324"/>
      <c r="H17" s="450">
        <f>E17*E12</f>
        <v>224.54347999999999</v>
      </c>
      <c r="I17" s="450"/>
      <c r="J17" s="450"/>
      <c r="K17" s="136"/>
    </row>
    <row r="18" spans="1:11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326.16759999999999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550.71108000000004</v>
      </c>
      <c r="I19" s="525"/>
      <c r="J19" s="525"/>
      <c r="K19" s="136"/>
    </row>
    <row r="20" spans="1:11" ht="29.25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210.79592</v>
      </c>
      <c r="I20" s="291"/>
      <c r="J20" s="292"/>
      <c r="K20" s="136"/>
    </row>
    <row r="21" spans="1:11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532" t="s">
        <v>2</v>
      </c>
      <c r="B22" s="533"/>
      <c r="C22" s="510" t="s">
        <v>3</v>
      </c>
      <c r="D22" s="511"/>
      <c r="E22" s="603">
        <v>0.2</v>
      </c>
      <c r="F22" s="603"/>
      <c r="G22" s="603"/>
      <c r="H22" s="450">
        <f>E22*(E12+H19)</f>
        <v>649.26221600000008</v>
      </c>
      <c r="I22" s="450"/>
      <c r="J22" s="450"/>
      <c r="K22" s="136"/>
    </row>
    <row r="23" spans="1:11" x14ac:dyDescent="0.25">
      <c r="A23" s="532" t="s">
        <v>7</v>
      </c>
      <c r="B23" s="53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81.15777700000001</v>
      </c>
      <c r="I23" s="450"/>
      <c r="J23" s="450"/>
      <c r="K23" s="136"/>
    </row>
    <row r="24" spans="1:11" x14ac:dyDescent="0.25">
      <c r="A24" s="532" t="s">
        <v>8</v>
      </c>
      <c r="B24" s="533"/>
      <c r="C24" s="512" t="s">
        <v>42</v>
      </c>
      <c r="D24" s="513"/>
      <c r="E24" s="514">
        <v>0.03</v>
      </c>
      <c r="F24" s="514"/>
      <c r="G24" s="514"/>
      <c r="H24" s="450">
        <f>E24*(E12+H19)</f>
        <v>97.389332400000001</v>
      </c>
      <c r="I24" s="450"/>
      <c r="J24" s="450"/>
      <c r="K24" s="136"/>
    </row>
    <row r="25" spans="1:11" x14ac:dyDescent="0.25">
      <c r="A25" s="532" t="s">
        <v>9</v>
      </c>
      <c r="B25" s="53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48.6946662</v>
      </c>
      <c r="I25" s="450"/>
      <c r="J25" s="450"/>
      <c r="K25" s="136"/>
    </row>
    <row r="26" spans="1:11" x14ac:dyDescent="0.25">
      <c r="A26" s="532" t="s">
        <v>10</v>
      </c>
      <c r="B26" s="533"/>
      <c r="C26" s="482" t="s">
        <v>44</v>
      </c>
      <c r="D26" s="483"/>
      <c r="E26" s="497">
        <v>0.01</v>
      </c>
      <c r="F26" s="497"/>
      <c r="G26" s="497"/>
      <c r="H26" s="450">
        <f>E26*(E12+H19)</f>
        <v>32.463110800000003</v>
      </c>
      <c r="I26" s="450"/>
      <c r="J26" s="450"/>
      <c r="K26" s="136"/>
    </row>
    <row r="27" spans="1:11" x14ac:dyDescent="0.25">
      <c r="A27" s="532" t="s">
        <v>11</v>
      </c>
      <c r="B27" s="53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19.477866479999999</v>
      </c>
      <c r="I27" s="450"/>
      <c r="J27" s="450"/>
      <c r="K27" s="136"/>
    </row>
    <row r="28" spans="1:11" x14ac:dyDescent="0.25">
      <c r="A28" s="532" t="s">
        <v>39</v>
      </c>
      <c r="B28" s="533"/>
      <c r="C28" s="482" t="s">
        <v>5</v>
      </c>
      <c r="D28" s="483"/>
      <c r="E28" s="497">
        <v>2E-3</v>
      </c>
      <c r="F28" s="497"/>
      <c r="G28" s="497"/>
      <c r="H28" s="450">
        <f>E28*(E12+H19)</f>
        <v>6.4926221599999998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259.70488640000002</v>
      </c>
      <c r="I29" s="450"/>
      <c r="J29" s="450"/>
      <c r="K29" s="136"/>
    </row>
    <row r="30" spans="1:11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1194.64247744</v>
      </c>
      <c r="I30" s="592"/>
      <c r="J30" s="592"/>
      <c r="K30" s="136"/>
    </row>
    <row r="31" spans="1:11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1" x14ac:dyDescent="0.25">
      <c r="A32" s="532" t="s">
        <v>2</v>
      </c>
      <c r="B32" s="533"/>
      <c r="C32" s="510" t="s">
        <v>46</v>
      </c>
      <c r="D32" s="511"/>
      <c r="E32" s="603"/>
      <c r="F32" s="603"/>
      <c r="G32" s="603"/>
      <c r="H32" s="450">
        <f>(3.9*2*25.5)-6%*E6</f>
        <v>93.780000000000015</v>
      </c>
      <c r="I32" s="450"/>
      <c r="J32" s="450"/>
      <c r="K32" s="136"/>
    </row>
    <row r="33" spans="1:11" x14ac:dyDescent="0.25">
      <c r="A33" s="532" t="s">
        <v>7</v>
      </c>
      <c r="B33" s="533"/>
      <c r="C33" s="482" t="s">
        <v>279</v>
      </c>
      <c r="D33" s="483"/>
      <c r="E33" s="497"/>
      <c r="F33" s="497"/>
      <c r="G33" s="497"/>
      <c r="H33" s="450">
        <f>16.6*25.5-20%</f>
        <v>423.1</v>
      </c>
      <c r="I33" s="450"/>
      <c r="J33" s="450"/>
      <c r="K33" s="136"/>
    </row>
    <row r="34" spans="1:11" x14ac:dyDescent="0.25">
      <c r="A34" s="532" t="s">
        <v>8</v>
      </c>
      <c r="B34" s="533"/>
      <c r="C34" s="284" t="s">
        <v>49</v>
      </c>
      <c r="D34" s="286"/>
      <c r="E34" s="497"/>
      <c r="F34" s="497"/>
      <c r="G34" s="497"/>
      <c r="H34" s="450">
        <v>70</v>
      </c>
      <c r="I34" s="450"/>
      <c r="J34" s="450"/>
      <c r="K34" s="136"/>
    </row>
    <row r="35" spans="1:11" x14ac:dyDescent="0.25">
      <c r="A35" s="532" t="s">
        <v>9</v>
      </c>
      <c r="B35" s="533"/>
      <c r="C35" s="478" t="s">
        <v>149</v>
      </c>
      <c r="D35" s="479"/>
      <c r="E35" s="497"/>
      <c r="F35" s="497"/>
      <c r="G35" s="497"/>
      <c r="H35" s="450">
        <v>155</v>
      </c>
      <c r="I35" s="450"/>
      <c r="J35" s="450"/>
      <c r="K35" s="136"/>
    </row>
    <row r="36" spans="1:11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741.88</v>
      </c>
      <c r="I36" s="451"/>
      <c r="J36" s="451"/>
      <c r="K36" s="136"/>
    </row>
    <row r="37" spans="1:11" ht="15.75" thickBot="1" x14ac:dyDescent="0.3">
      <c r="A37" s="458" t="s">
        <v>72</v>
      </c>
      <c r="B37" s="459"/>
      <c r="C37" s="459"/>
      <c r="D37" s="460"/>
      <c r="E37" s="587">
        <f>H19+H30+H36</f>
        <v>2487.2335574399999</v>
      </c>
      <c r="F37" s="498"/>
      <c r="G37" s="498"/>
      <c r="H37" s="498"/>
      <c r="I37" s="498"/>
      <c r="J37" s="499"/>
      <c r="K37" s="136"/>
    </row>
    <row r="38" spans="1:11" ht="10.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</row>
    <row r="39" spans="1:11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1" x14ac:dyDescent="0.25">
      <c r="A40" s="954" t="s">
        <v>2</v>
      </c>
      <c r="B40" s="955"/>
      <c r="C40" s="452" t="s">
        <v>51</v>
      </c>
      <c r="D40" s="453"/>
      <c r="E40" s="128"/>
      <c r="F40" s="129"/>
      <c r="G40" s="130"/>
      <c r="H40" s="456">
        <f>E12/12*5%</f>
        <v>11.231666666666667</v>
      </c>
      <c r="I40" s="457"/>
      <c r="J40" s="453"/>
      <c r="K40" s="136"/>
    </row>
    <row r="41" spans="1:11" x14ac:dyDescent="0.25">
      <c r="A41" s="954" t="s">
        <v>7</v>
      </c>
      <c r="B41" s="955"/>
      <c r="C41" s="452" t="s">
        <v>52</v>
      </c>
      <c r="D41" s="453"/>
      <c r="E41" s="128"/>
      <c r="F41" s="129"/>
      <c r="G41" s="130"/>
      <c r="H41" s="456">
        <f>H40*8%</f>
        <v>0.89853333333333341</v>
      </c>
      <c r="I41" s="457"/>
      <c r="J41" s="453"/>
      <c r="K41" s="136"/>
    </row>
    <row r="42" spans="1:11" ht="30" customHeight="1" x14ac:dyDescent="0.25">
      <c r="A42" s="954" t="s">
        <v>8</v>
      </c>
      <c r="B42" s="955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956" t="s">
        <v>9</v>
      </c>
      <c r="B43" s="956"/>
      <c r="C43" s="482" t="s">
        <v>54</v>
      </c>
      <c r="D43" s="483"/>
      <c r="E43" s="497"/>
      <c r="F43" s="497"/>
      <c r="G43" s="497"/>
      <c r="H43" s="450">
        <f>E12/30/12*7*100%</f>
        <v>52.414444444444435</v>
      </c>
      <c r="I43" s="450"/>
      <c r="J43" s="450"/>
      <c r="K43" s="136"/>
    </row>
    <row r="44" spans="1:11" ht="28.5" customHeight="1" x14ac:dyDescent="0.25">
      <c r="A44" s="956" t="s">
        <v>10</v>
      </c>
      <c r="B44" s="956"/>
      <c r="C44" s="478" t="s">
        <v>93</v>
      </c>
      <c r="D44" s="479"/>
      <c r="E44" s="497"/>
      <c r="F44" s="497"/>
      <c r="G44" s="497"/>
      <c r="H44" s="450">
        <f>H43*39.8%</f>
        <v>20.860948888888885</v>
      </c>
      <c r="I44" s="450"/>
      <c r="J44" s="450"/>
      <c r="K44" s="136"/>
    </row>
    <row r="45" spans="1:11" ht="30" customHeight="1" thickBot="1" x14ac:dyDescent="0.3">
      <c r="A45" s="958" t="s">
        <v>11</v>
      </c>
      <c r="B45" s="959"/>
      <c r="C45" s="834" t="s">
        <v>53</v>
      </c>
      <c r="D45" s="835"/>
      <c r="E45" s="836"/>
      <c r="F45" s="837"/>
      <c r="G45" s="838"/>
      <c r="H45" s="470">
        <f>E12*5%</f>
        <v>134.78</v>
      </c>
      <c r="I45" s="471"/>
      <c r="J45" s="472"/>
      <c r="K45" s="136"/>
    </row>
    <row r="46" spans="1:11" ht="15.75" thickBot="1" x14ac:dyDescent="0.3">
      <c r="A46" s="570" t="s">
        <v>318</v>
      </c>
      <c r="B46" s="571"/>
      <c r="C46" s="571"/>
      <c r="D46" s="571"/>
      <c r="E46" s="571"/>
      <c r="F46" s="571"/>
      <c r="G46" s="572"/>
      <c r="H46" s="547">
        <f>SUM(H40:J45)</f>
        <v>220.18559333333332</v>
      </c>
      <c r="I46" s="485"/>
      <c r="J46" s="486"/>
      <c r="K46" s="136"/>
    </row>
    <row r="47" spans="1:11" ht="10.5" customHeight="1" thickBot="1" x14ac:dyDescent="0.3">
      <c r="E47" s="131"/>
      <c r="F47" s="131"/>
      <c r="G47" s="131"/>
      <c r="K47" s="136"/>
    </row>
    <row r="48" spans="1:11" ht="33" customHeight="1" thickBot="1" x14ac:dyDescent="0.3">
      <c r="A48" s="494" t="s">
        <v>412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954" t="s">
        <v>2</v>
      </c>
      <c r="B49" s="955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36"/>
    </row>
    <row r="50" spans="1:11" x14ac:dyDescent="0.25">
      <c r="A50" s="954" t="s">
        <v>7</v>
      </c>
      <c r="B50" s="955"/>
      <c r="C50" s="452" t="s">
        <v>57</v>
      </c>
      <c r="D50" s="453"/>
      <c r="E50" s="128"/>
      <c r="F50" s="129"/>
      <c r="G50" s="130"/>
      <c r="H50" s="456">
        <f>E12/30/12</f>
        <v>7.4877777777777768</v>
      </c>
      <c r="I50" s="457"/>
      <c r="J50" s="453"/>
      <c r="K50" s="136"/>
    </row>
    <row r="51" spans="1:11" x14ac:dyDescent="0.25">
      <c r="A51" s="954" t="s">
        <v>8</v>
      </c>
      <c r="B51" s="955"/>
      <c r="C51" s="320" t="s">
        <v>58</v>
      </c>
      <c r="D51" s="321"/>
      <c r="E51" s="322"/>
      <c r="F51" s="323"/>
      <c r="G51" s="324"/>
      <c r="H51" s="450">
        <f>E12/30/12*5*1.5%</f>
        <v>0.56158333333333321</v>
      </c>
      <c r="I51" s="450"/>
      <c r="J51" s="450"/>
      <c r="K51" s="136"/>
    </row>
    <row r="52" spans="1:11" ht="30" customHeight="1" x14ac:dyDescent="0.25">
      <c r="A52" s="956" t="s">
        <v>9</v>
      </c>
      <c r="B52" s="956"/>
      <c r="C52" s="284" t="s">
        <v>59</v>
      </c>
      <c r="D52" s="286"/>
      <c r="E52" s="497"/>
      <c r="F52" s="497"/>
      <c r="G52" s="497"/>
      <c r="H52" s="450">
        <f>E12/30/12*15*8%</f>
        <v>8.9853333333333314</v>
      </c>
      <c r="I52" s="450"/>
      <c r="J52" s="450"/>
      <c r="K52" s="136"/>
    </row>
    <row r="53" spans="1:11" x14ac:dyDescent="0.25">
      <c r="A53" s="956" t="s">
        <v>10</v>
      </c>
      <c r="B53" s="956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956" t="s">
        <v>11</v>
      </c>
      <c r="B54" s="956"/>
      <c r="C54" s="478" t="s">
        <v>61</v>
      </c>
      <c r="D54" s="479"/>
      <c r="E54" s="497"/>
      <c r="F54" s="497"/>
      <c r="G54" s="497"/>
      <c r="H54" s="450">
        <f>E12/30/12*5*40%</f>
        <v>14.975555555555554</v>
      </c>
      <c r="I54" s="450"/>
      <c r="J54" s="450"/>
      <c r="K54" s="136"/>
    </row>
    <row r="55" spans="1:11" ht="28.5" customHeight="1" x14ac:dyDescent="0.25">
      <c r="A55" s="956" t="s">
        <v>39</v>
      </c>
      <c r="B55" s="956"/>
      <c r="C55" s="478" t="s">
        <v>62</v>
      </c>
      <c r="D55" s="479"/>
      <c r="E55" s="497"/>
      <c r="F55" s="497"/>
      <c r="G55" s="497"/>
      <c r="H55" s="450">
        <f>SUM(H49:J54)*39.8%</f>
        <v>12.741765361666666</v>
      </c>
      <c r="I55" s="450"/>
      <c r="J55" s="450"/>
      <c r="K55" s="136"/>
    </row>
    <row r="56" spans="1:11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44.756251194999997</v>
      </c>
      <c r="I56" s="592"/>
      <c r="J56" s="592"/>
      <c r="K56" s="136"/>
    </row>
    <row r="57" spans="1:11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1" ht="27.75" customHeight="1" x14ac:dyDescent="0.25">
      <c r="A58" s="954" t="s">
        <v>2</v>
      </c>
      <c r="B58" s="955"/>
      <c r="C58" s="454" t="s">
        <v>64</v>
      </c>
      <c r="D58" s="455"/>
      <c r="E58" s="128"/>
      <c r="F58" s="129"/>
      <c r="G58" s="130"/>
      <c r="H58" s="456">
        <f>((((E12+(E12/3))*0.3333)/12)*2%)</f>
        <v>1.9965410666666665</v>
      </c>
      <c r="I58" s="457"/>
      <c r="J58" s="453"/>
      <c r="K58" s="136"/>
    </row>
    <row r="59" spans="1:11" ht="43.5" customHeight="1" x14ac:dyDescent="0.25">
      <c r="A59" s="954" t="s">
        <v>7</v>
      </c>
      <c r="B59" s="955"/>
      <c r="C59" s="454" t="s">
        <v>65</v>
      </c>
      <c r="D59" s="455"/>
      <c r="E59" s="128"/>
      <c r="F59" s="129"/>
      <c r="G59" s="130"/>
      <c r="H59" s="456">
        <f>H58*39.8%</f>
        <v>0.79462334453333316</v>
      </c>
      <c r="I59" s="457"/>
      <c r="J59" s="453"/>
      <c r="K59" s="136"/>
    </row>
    <row r="60" spans="1:11" ht="43.5" customHeight="1" x14ac:dyDescent="0.25">
      <c r="A60" s="954" t="s">
        <v>8</v>
      </c>
      <c r="B60" s="955"/>
      <c r="C60" s="454" t="s">
        <v>66</v>
      </c>
      <c r="D60" s="455"/>
      <c r="E60" s="322"/>
      <c r="F60" s="323"/>
      <c r="G60" s="324"/>
      <c r="H60" s="450">
        <f>(((E12+H17)*0.333)*2%)*39.8%</f>
        <v>7.7403659195663996</v>
      </c>
      <c r="I60" s="450"/>
      <c r="J60" s="450"/>
      <c r="K60" s="136"/>
    </row>
    <row r="61" spans="1:11" x14ac:dyDescent="0.25">
      <c r="A61" s="956" t="s">
        <v>9</v>
      </c>
      <c r="B61" s="956"/>
      <c r="C61" s="482" t="s">
        <v>67</v>
      </c>
      <c r="D61" s="483"/>
      <c r="E61" s="497"/>
      <c r="F61" s="497"/>
      <c r="G61" s="497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10.531530330766399</v>
      </c>
      <c r="I62" s="592"/>
      <c r="J62" s="592"/>
      <c r="K62" s="136"/>
    </row>
    <row r="63" spans="1:11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1" ht="28.5" customHeight="1" x14ac:dyDescent="0.25">
      <c r="A64" s="954" t="s">
        <v>2</v>
      </c>
      <c r="B64" s="955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36"/>
    </row>
    <row r="65" spans="1:11" ht="31.5" customHeight="1" x14ac:dyDescent="0.25">
      <c r="A65" s="954" t="s">
        <v>7</v>
      </c>
      <c r="B65" s="955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1" ht="15.75" thickBot="1" x14ac:dyDescent="0.3">
      <c r="A67" s="458" t="s">
        <v>71</v>
      </c>
      <c r="B67" s="459"/>
      <c r="C67" s="459"/>
      <c r="D67" s="460"/>
      <c r="E67" s="587">
        <f>H66+H62+H56</f>
        <v>55.287906815458399</v>
      </c>
      <c r="F67" s="498"/>
      <c r="G67" s="498"/>
      <c r="H67" s="498"/>
      <c r="I67" s="498"/>
      <c r="J67" s="499"/>
      <c r="K67" s="136"/>
    </row>
    <row r="68" spans="1:11" ht="10.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36"/>
    </row>
    <row r="69" spans="1:11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1" x14ac:dyDescent="0.25">
      <c r="A70" s="954" t="s">
        <v>2</v>
      </c>
      <c r="B70" s="955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36"/>
    </row>
    <row r="71" spans="1:11" x14ac:dyDescent="0.25">
      <c r="A71" s="954" t="s">
        <v>7</v>
      </c>
      <c r="B71" s="955"/>
      <c r="C71" s="452" t="s">
        <v>75</v>
      </c>
      <c r="D71" s="453"/>
      <c r="E71" s="128"/>
      <c r="F71" s="129"/>
      <c r="G71" s="130"/>
      <c r="H71" s="456">
        <v>5.56</v>
      </c>
      <c r="I71" s="457"/>
      <c r="J71" s="453"/>
      <c r="K71" s="136"/>
    </row>
    <row r="72" spans="1:11" x14ac:dyDescent="0.25">
      <c r="A72" s="954" t="s">
        <v>8</v>
      </c>
      <c r="B72" s="955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957" t="s">
        <v>9</v>
      </c>
      <c r="B73" s="957"/>
      <c r="C73" s="473" t="s">
        <v>28</v>
      </c>
      <c r="D73" s="474"/>
      <c r="E73" s="842"/>
      <c r="F73" s="842"/>
      <c r="G73" s="842"/>
      <c r="H73" s="449">
        <f>E31/30/12*15*8%</f>
        <v>0</v>
      </c>
      <c r="I73" s="449"/>
      <c r="J73" s="449"/>
      <c r="K73" s="136"/>
    </row>
    <row r="74" spans="1:11" ht="15.75" thickBot="1" x14ac:dyDescent="0.3">
      <c r="A74" s="570" t="s">
        <v>320</v>
      </c>
      <c r="B74" s="571"/>
      <c r="C74" s="571"/>
      <c r="D74" s="571"/>
      <c r="E74" s="571"/>
      <c r="F74" s="571"/>
      <c r="G74" s="572"/>
      <c r="H74" s="547">
        <f>SUM(H70:J73)</f>
        <v>248.31</v>
      </c>
      <c r="I74" s="485"/>
      <c r="J74" s="486"/>
      <c r="K74" s="136"/>
    </row>
    <row r="75" spans="1:11" ht="10.5" customHeight="1" thickBot="1" x14ac:dyDescent="0.3">
      <c r="E75" s="131"/>
      <c r="F75" s="131"/>
      <c r="G75" s="131"/>
      <c r="K75" s="136"/>
    </row>
    <row r="76" spans="1:11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1" x14ac:dyDescent="0.25">
      <c r="A77" s="954" t="s">
        <v>2</v>
      </c>
      <c r="B77" s="955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399.46319403121544</v>
      </c>
      <c r="I77" s="457"/>
      <c r="J77" s="453"/>
      <c r="K77" s="136"/>
    </row>
    <row r="78" spans="1:11" x14ac:dyDescent="0.25">
      <c r="A78" s="954" t="s">
        <v>7</v>
      </c>
      <c r="B78" s="955"/>
      <c r="C78" s="452" t="s">
        <v>12</v>
      </c>
      <c r="D78" s="453"/>
      <c r="E78" s="843">
        <v>7.5775276633744088E-2</v>
      </c>
      <c r="F78" s="840"/>
      <c r="G78" s="841"/>
      <c r="H78" s="456">
        <f>E78*(H74+E67+H46+E37+E12)</f>
        <v>432.42048618163341</v>
      </c>
      <c r="I78" s="457"/>
      <c r="J78" s="453"/>
      <c r="K78" s="136"/>
    </row>
    <row r="79" spans="1:11" ht="15" customHeight="1" x14ac:dyDescent="0.25">
      <c r="A79" s="954" t="s">
        <v>8</v>
      </c>
      <c r="B79" s="955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6654.9470059344503</v>
      </c>
      <c r="I79" s="450"/>
      <c r="J79" s="450"/>
      <c r="K79" s="136"/>
    </row>
    <row r="80" spans="1:11" ht="15" customHeight="1" x14ac:dyDescent="0.25">
      <c r="A80" s="956" t="s">
        <v>9</v>
      </c>
      <c r="B80" s="956"/>
      <c r="C80" s="482" t="s">
        <v>79</v>
      </c>
      <c r="D80" s="483"/>
      <c r="E80" s="497">
        <v>1.6500000000000001E-2</v>
      </c>
      <c r="F80" s="497"/>
      <c r="G80" s="497"/>
      <c r="H80" s="450">
        <f>E80*J88</f>
        <v>53.111850000000004</v>
      </c>
      <c r="I80" s="450"/>
      <c r="J80" s="450"/>
      <c r="K80" s="136"/>
    </row>
    <row r="81" spans="1:11" ht="15" customHeight="1" x14ac:dyDescent="0.25">
      <c r="A81" s="956" t="s">
        <v>9</v>
      </c>
      <c r="B81" s="956"/>
      <c r="C81" s="482" t="s">
        <v>80</v>
      </c>
      <c r="D81" s="483"/>
      <c r="E81" s="497">
        <v>7.5999999999999998E-2</v>
      </c>
      <c r="F81" s="497"/>
      <c r="G81" s="497"/>
      <c r="H81" s="450">
        <f>E81*J88</f>
        <v>244.63640000000001</v>
      </c>
      <c r="I81" s="450"/>
      <c r="J81" s="450"/>
      <c r="K81" s="136"/>
    </row>
    <row r="82" spans="1:11" x14ac:dyDescent="0.25">
      <c r="A82" s="956" t="s">
        <v>10</v>
      </c>
      <c r="B82" s="956"/>
      <c r="C82" s="482" t="s">
        <v>81</v>
      </c>
      <c r="D82" s="483"/>
      <c r="E82" s="497"/>
      <c r="F82" s="497"/>
      <c r="G82" s="497"/>
      <c r="H82" s="450"/>
      <c r="I82" s="450"/>
      <c r="J82" s="450"/>
      <c r="K82" s="136"/>
    </row>
    <row r="83" spans="1:11" ht="15.75" thickBot="1" x14ac:dyDescent="0.3">
      <c r="A83" s="957" t="s">
        <v>11</v>
      </c>
      <c r="B83" s="957"/>
      <c r="C83" s="473" t="s">
        <v>110</v>
      </c>
      <c r="D83" s="474"/>
      <c r="E83" s="842">
        <v>0.05</v>
      </c>
      <c r="F83" s="842"/>
      <c r="G83" s="842"/>
      <c r="H83" s="449">
        <f>E83*J88</f>
        <v>160.94500000000002</v>
      </c>
      <c r="I83" s="449"/>
      <c r="J83" s="449"/>
      <c r="K83" s="136"/>
    </row>
    <row r="84" spans="1:11" ht="15.75" thickBot="1" x14ac:dyDescent="0.3">
      <c r="A84" s="570" t="s">
        <v>321</v>
      </c>
      <c r="B84" s="571"/>
      <c r="C84" s="571"/>
      <c r="D84" s="571"/>
      <c r="E84" s="571"/>
      <c r="F84" s="571"/>
      <c r="G84" s="572"/>
      <c r="H84" s="547">
        <f>H77+H78+H80+H81+H83</f>
        <v>1290.5769302128488</v>
      </c>
      <c r="I84" s="485"/>
      <c r="J84" s="486"/>
      <c r="K84" s="136"/>
    </row>
    <row r="85" spans="1:11" ht="10.5" customHeight="1" thickBot="1" x14ac:dyDescent="0.3">
      <c r="E85" s="131"/>
      <c r="F85" s="131"/>
      <c r="G85" s="131"/>
      <c r="K85" s="136"/>
    </row>
    <row r="86" spans="1:11" ht="15.75" thickBot="1" x14ac:dyDescent="0.3">
      <c r="A86" s="719" t="s">
        <v>85</v>
      </c>
      <c r="B86" s="720"/>
      <c r="C86" s="720"/>
      <c r="D86" s="720"/>
      <c r="E86" s="720"/>
      <c r="F86" s="720"/>
      <c r="G86" s="721"/>
      <c r="H86" s="1037">
        <f>SUM(H84+H74+E67+H46+E37+E12)</f>
        <v>6997.1939878016401</v>
      </c>
      <c r="I86" s="1038"/>
      <c r="J86" s="1039"/>
    </row>
    <row r="88" spans="1:11" x14ac:dyDescent="0.25">
      <c r="J88" s="174">
        <v>3218.9</v>
      </c>
    </row>
    <row r="89" spans="1:11" ht="15.75" thickBot="1" x14ac:dyDescent="0.3">
      <c r="D89" s="175"/>
    </row>
  </sheetData>
  <mergeCells count="230"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  <mergeCell ref="A12:D12"/>
    <mergeCell ref="E12:J12"/>
    <mergeCell ref="A13:D13"/>
    <mergeCell ref="E13:J13"/>
    <mergeCell ref="A14:J14"/>
    <mergeCell ref="A15:J15"/>
    <mergeCell ref="B9:D9"/>
    <mergeCell ref="E9:J9"/>
    <mergeCell ref="B10:D10"/>
    <mergeCell ref="E10:J10"/>
    <mergeCell ref="B11:D11"/>
    <mergeCell ref="E11:J11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/>
  </sheetPr>
  <dimension ref="A1:L89"/>
  <sheetViews>
    <sheetView workbookViewId="0">
      <selection activeCell="L59" sqref="L59"/>
    </sheetView>
  </sheetViews>
  <sheetFormatPr defaultRowHeight="15" x14ac:dyDescent="0.25"/>
  <cols>
    <col min="1" max="1" width="6.7109375" style="146" customWidth="1"/>
    <col min="2" max="2" width="3.42578125" style="146" customWidth="1"/>
    <col min="3" max="3" width="16.140625" style="134" customWidth="1"/>
    <col min="4" max="4" width="32.85546875" style="134" customWidth="1"/>
    <col min="5" max="5" width="3.140625" style="116" customWidth="1"/>
    <col min="6" max="6" width="2" style="116" customWidth="1"/>
    <col min="7" max="7" width="3.85546875" style="116" customWidth="1"/>
    <col min="8" max="8" width="4.140625" style="161" customWidth="1"/>
    <col min="9" max="9" width="3.7109375" style="161" hidden="1" customWidth="1"/>
    <col min="10" max="10" width="11.7109375" style="161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280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2" x14ac:dyDescent="0.25">
      <c r="A6" s="123" t="s">
        <v>2</v>
      </c>
      <c r="B6" s="606" t="s">
        <v>1</v>
      </c>
      <c r="C6" s="607"/>
      <c r="D6" s="608"/>
      <c r="E6" s="1009">
        <v>1116</v>
      </c>
      <c r="F6" s="1009"/>
      <c r="G6" s="1009"/>
      <c r="H6" s="1009"/>
      <c r="I6" s="1009"/>
      <c r="J6" s="1009"/>
      <c r="K6" s="136"/>
    </row>
    <row r="7" spans="1:12" x14ac:dyDescent="0.25">
      <c r="A7" s="123" t="s">
        <v>7</v>
      </c>
      <c r="B7" s="606" t="s">
        <v>25</v>
      </c>
      <c r="C7" s="607"/>
      <c r="D7" s="608"/>
      <c r="E7" s="1011"/>
      <c r="F7" s="1012"/>
      <c r="G7" s="1012"/>
      <c r="H7" s="1012"/>
      <c r="I7" s="1012"/>
      <c r="J7" s="1013"/>
      <c r="K7" s="136"/>
    </row>
    <row r="8" spans="1:12" x14ac:dyDescent="0.25">
      <c r="A8" s="123" t="s">
        <v>8</v>
      </c>
      <c r="B8" s="606" t="s">
        <v>26</v>
      </c>
      <c r="C8" s="607"/>
      <c r="D8" s="608"/>
      <c r="E8" s="1011"/>
      <c r="F8" s="1012"/>
      <c r="G8" s="1012"/>
      <c r="H8" s="1012"/>
      <c r="I8" s="1012"/>
      <c r="J8" s="1013"/>
      <c r="K8" s="136"/>
    </row>
    <row r="9" spans="1:12" x14ac:dyDescent="0.25">
      <c r="A9" s="123" t="s">
        <v>9</v>
      </c>
      <c r="B9" s="606" t="s">
        <v>27</v>
      </c>
      <c r="C9" s="607"/>
      <c r="D9" s="608"/>
      <c r="E9" s="1011"/>
      <c r="F9" s="1012"/>
      <c r="G9" s="1012"/>
      <c r="H9" s="1012"/>
      <c r="I9" s="1012"/>
      <c r="J9" s="1013"/>
      <c r="K9" s="136"/>
    </row>
    <row r="10" spans="1:12" x14ac:dyDescent="0.25">
      <c r="A10" s="123" t="s">
        <v>10</v>
      </c>
      <c r="B10" s="606" t="s">
        <v>28</v>
      </c>
      <c r="C10" s="607"/>
      <c r="D10" s="608"/>
      <c r="E10" s="1009">
        <f>E6*30%</f>
        <v>334.8</v>
      </c>
      <c r="F10" s="1009"/>
      <c r="G10" s="1009"/>
      <c r="H10" s="1009"/>
      <c r="I10" s="1009"/>
      <c r="J10" s="1009"/>
      <c r="K10" s="136"/>
    </row>
    <row r="11" spans="1:12" ht="32.25" customHeight="1" thickBot="1" x14ac:dyDescent="0.3">
      <c r="A11" s="122" t="s">
        <v>11</v>
      </c>
      <c r="B11" s="609" t="s">
        <v>92</v>
      </c>
      <c r="C11" s="610"/>
      <c r="D11" s="611"/>
      <c r="E11" s="1010">
        <f>1045*40%</f>
        <v>418</v>
      </c>
      <c r="F11" s="1010"/>
      <c r="G11" s="1010"/>
      <c r="H11" s="1010"/>
      <c r="I11" s="1010"/>
      <c r="J11" s="1010"/>
      <c r="K11" s="136"/>
    </row>
    <row r="12" spans="1:12" ht="15.75" thickBot="1" x14ac:dyDescent="0.3">
      <c r="A12" s="458" t="s">
        <v>330</v>
      </c>
      <c r="B12" s="459"/>
      <c r="C12" s="459"/>
      <c r="D12" s="460"/>
      <c r="E12" s="547">
        <f>SUM(E6:J11)</f>
        <v>1868.8</v>
      </c>
      <c r="F12" s="485"/>
      <c r="G12" s="485"/>
      <c r="H12" s="485"/>
      <c r="I12" s="485"/>
      <c r="J12" s="486"/>
      <c r="K12" s="136"/>
    </row>
    <row r="13" spans="1:12" ht="28.5" customHeight="1" x14ac:dyDescent="0.25">
      <c r="A13" s="1017" t="s">
        <v>29</v>
      </c>
      <c r="B13" s="1040"/>
      <c r="C13" s="1040"/>
      <c r="D13" s="1041"/>
      <c r="E13" s="1042">
        <f>E12*E30</f>
        <v>687.71840000000009</v>
      </c>
      <c r="F13" s="1043"/>
      <c r="G13" s="1043"/>
      <c r="H13" s="1043"/>
      <c r="I13" s="1043"/>
      <c r="J13" s="1044"/>
      <c r="K13" s="136"/>
    </row>
    <row r="14" spans="1:12" ht="10.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389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x14ac:dyDescent="0.25">
      <c r="A17" s="123" t="s">
        <v>2</v>
      </c>
      <c r="B17" s="482" t="s">
        <v>125</v>
      </c>
      <c r="C17" s="521"/>
      <c r="D17" s="483"/>
      <c r="E17" s="322">
        <v>8.3299999999999999E-2</v>
      </c>
      <c r="F17" s="323"/>
      <c r="G17" s="324"/>
      <c r="H17" s="450">
        <f>E17*E12</f>
        <v>155.67104</v>
      </c>
      <c r="I17" s="450"/>
      <c r="J17" s="450"/>
      <c r="K17" s="136"/>
    </row>
    <row r="18" spans="1:11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226.12479999999999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381.79584</v>
      </c>
      <c r="I19" s="525"/>
      <c r="J19" s="525"/>
      <c r="K19" s="136"/>
    </row>
    <row r="20" spans="1:11" ht="33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146.14016000000001</v>
      </c>
      <c r="I20" s="291"/>
      <c r="J20" s="292"/>
      <c r="K20" s="136"/>
    </row>
    <row r="21" spans="1:11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532" t="s">
        <v>2</v>
      </c>
      <c r="B22" s="533"/>
      <c r="C22" s="510" t="s">
        <v>3</v>
      </c>
      <c r="D22" s="511"/>
      <c r="E22" s="603">
        <v>0.2</v>
      </c>
      <c r="F22" s="603"/>
      <c r="G22" s="603"/>
      <c r="H22" s="450">
        <f>E22*(E12+H19)</f>
        <v>450.119168</v>
      </c>
      <c r="I22" s="450"/>
      <c r="J22" s="450"/>
      <c r="K22" s="136"/>
    </row>
    <row r="23" spans="1:11" x14ac:dyDescent="0.25">
      <c r="A23" s="532" t="s">
        <v>7</v>
      </c>
      <c r="B23" s="53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56.264896</v>
      </c>
      <c r="I23" s="450"/>
      <c r="J23" s="450"/>
      <c r="K23" s="136"/>
    </row>
    <row r="24" spans="1:11" x14ac:dyDescent="0.25">
      <c r="A24" s="532" t="s">
        <v>8</v>
      </c>
      <c r="B24" s="533"/>
      <c r="C24" s="512" t="s">
        <v>42</v>
      </c>
      <c r="D24" s="513"/>
      <c r="E24" s="514">
        <v>0.03</v>
      </c>
      <c r="F24" s="514"/>
      <c r="G24" s="514"/>
      <c r="H24" s="450">
        <f>E24*(E12+H19)</f>
        <v>67.517875199999992</v>
      </c>
      <c r="I24" s="450"/>
      <c r="J24" s="450"/>
      <c r="K24" s="136"/>
    </row>
    <row r="25" spans="1:11" x14ac:dyDescent="0.25">
      <c r="A25" s="532" t="s">
        <v>9</v>
      </c>
      <c r="B25" s="53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33.758937599999996</v>
      </c>
      <c r="I25" s="450"/>
      <c r="J25" s="450"/>
      <c r="K25" s="136"/>
    </row>
    <row r="26" spans="1:11" x14ac:dyDescent="0.25">
      <c r="A26" s="532" t="s">
        <v>10</v>
      </c>
      <c r="B26" s="533"/>
      <c r="C26" s="482" t="s">
        <v>44</v>
      </c>
      <c r="D26" s="483"/>
      <c r="E26" s="497">
        <v>0.01</v>
      </c>
      <c r="F26" s="497"/>
      <c r="G26" s="497"/>
      <c r="H26" s="450">
        <f>E26*(E12+H19)</f>
        <v>22.505958400000001</v>
      </c>
      <c r="I26" s="450"/>
      <c r="J26" s="450"/>
      <c r="K26" s="136"/>
    </row>
    <row r="27" spans="1:11" x14ac:dyDescent="0.25">
      <c r="A27" s="532" t="s">
        <v>11</v>
      </c>
      <c r="B27" s="53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13.503575039999999</v>
      </c>
      <c r="I27" s="450"/>
      <c r="J27" s="450"/>
      <c r="K27" s="136"/>
    </row>
    <row r="28" spans="1:11" x14ac:dyDescent="0.25">
      <c r="A28" s="532" t="s">
        <v>39</v>
      </c>
      <c r="B28" s="533"/>
      <c r="C28" s="482" t="s">
        <v>5</v>
      </c>
      <c r="D28" s="483"/>
      <c r="E28" s="497">
        <v>2E-3</v>
      </c>
      <c r="F28" s="497"/>
      <c r="G28" s="497"/>
      <c r="H28" s="450">
        <f>E28*(E12+H19)</f>
        <v>4.5011916799999998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180.04766720000001</v>
      </c>
      <c r="I29" s="450"/>
      <c r="J29" s="450"/>
      <c r="K29" s="136"/>
    </row>
    <row r="30" spans="1:11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828.21926912000004</v>
      </c>
      <c r="I30" s="592"/>
      <c r="J30" s="592"/>
      <c r="K30" s="136"/>
    </row>
    <row r="31" spans="1:11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1" x14ac:dyDescent="0.25">
      <c r="A32" s="532" t="s">
        <v>2</v>
      </c>
      <c r="B32" s="533"/>
      <c r="C32" s="510" t="s">
        <v>46</v>
      </c>
      <c r="D32" s="511"/>
      <c r="E32" s="603"/>
      <c r="F32" s="603"/>
      <c r="G32" s="603"/>
      <c r="H32" s="450">
        <f>(3.9*2*25.5)-6%*E6</f>
        <v>131.94</v>
      </c>
      <c r="I32" s="450"/>
      <c r="J32" s="450"/>
      <c r="K32" s="136"/>
    </row>
    <row r="33" spans="1:11" x14ac:dyDescent="0.25">
      <c r="A33" s="532" t="s">
        <v>7</v>
      </c>
      <c r="B33" s="533"/>
      <c r="C33" s="482" t="s">
        <v>279</v>
      </c>
      <c r="D33" s="483"/>
      <c r="E33" s="497"/>
      <c r="F33" s="497"/>
      <c r="G33" s="497"/>
      <c r="H33" s="450">
        <f>16.6*25.5-20%</f>
        <v>423.1</v>
      </c>
      <c r="I33" s="450"/>
      <c r="J33" s="450"/>
      <c r="K33" s="136"/>
    </row>
    <row r="34" spans="1:11" x14ac:dyDescent="0.25">
      <c r="A34" s="532" t="s">
        <v>8</v>
      </c>
      <c r="B34" s="533"/>
      <c r="C34" s="284" t="s">
        <v>49</v>
      </c>
      <c r="D34" s="286"/>
      <c r="E34" s="497"/>
      <c r="F34" s="497"/>
      <c r="G34" s="497"/>
      <c r="H34" s="450">
        <v>70</v>
      </c>
      <c r="I34" s="450"/>
      <c r="J34" s="450"/>
      <c r="K34" s="136"/>
    </row>
    <row r="35" spans="1:11" x14ac:dyDescent="0.25">
      <c r="A35" s="532" t="s">
        <v>9</v>
      </c>
      <c r="B35" s="533"/>
      <c r="C35" s="478" t="s">
        <v>149</v>
      </c>
      <c r="D35" s="479"/>
      <c r="E35" s="497"/>
      <c r="F35" s="497"/>
      <c r="G35" s="497"/>
      <c r="H35" s="450">
        <v>155</v>
      </c>
      <c r="I35" s="450"/>
      <c r="J35" s="450"/>
      <c r="K35" s="136"/>
    </row>
    <row r="36" spans="1:11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780.04</v>
      </c>
      <c r="I36" s="451"/>
      <c r="J36" s="451"/>
      <c r="K36" s="136"/>
    </row>
    <row r="37" spans="1:11" ht="15.75" thickBot="1" x14ac:dyDescent="0.3">
      <c r="A37" s="458" t="s">
        <v>72</v>
      </c>
      <c r="B37" s="459"/>
      <c r="C37" s="459"/>
      <c r="D37" s="460"/>
      <c r="E37" s="587">
        <f>H19+H30+H36</f>
        <v>1990.05510912</v>
      </c>
      <c r="F37" s="498"/>
      <c r="G37" s="498"/>
      <c r="H37" s="498"/>
      <c r="I37" s="498"/>
      <c r="J37" s="499"/>
      <c r="K37" s="136"/>
    </row>
    <row r="38" spans="1:11" ht="8.2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</row>
    <row r="39" spans="1:11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1" x14ac:dyDescent="0.25">
      <c r="A40" s="954" t="s">
        <v>2</v>
      </c>
      <c r="B40" s="955"/>
      <c r="C40" s="452" t="s">
        <v>51</v>
      </c>
      <c r="D40" s="453"/>
      <c r="E40" s="128"/>
      <c r="F40" s="129"/>
      <c r="G40" s="130"/>
      <c r="H40" s="456">
        <f>E12/12*5%</f>
        <v>7.7866666666666662</v>
      </c>
      <c r="I40" s="457"/>
      <c r="J40" s="453"/>
      <c r="K40" s="136"/>
    </row>
    <row r="41" spans="1:11" x14ac:dyDescent="0.25">
      <c r="A41" s="954" t="s">
        <v>7</v>
      </c>
      <c r="B41" s="955"/>
      <c r="C41" s="452" t="s">
        <v>52</v>
      </c>
      <c r="D41" s="453"/>
      <c r="E41" s="128"/>
      <c r="F41" s="129"/>
      <c r="G41" s="130"/>
      <c r="H41" s="456">
        <f>H40*8%</f>
        <v>0.62293333333333334</v>
      </c>
      <c r="I41" s="457"/>
      <c r="J41" s="453"/>
      <c r="K41" s="136"/>
    </row>
    <row r="42" spans="1:11" ht="30" customHeight="1" x14ac:dyDescent="0.25">
      <c r="A42" s="954" t="s">
        <v>8</v>
      </c>
      <c r="B42" s="955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956" t="s">
        <v>9</v>
      </c>
      <c r="B43" s="956"/>
      <c r="C43" s="482" t="s">
        <v>54</v>
      </c>
      <c r="D43" s="483"/>
      <c r="E43" s="497"/>
      <c r="F43" s="497"/>
      <c r="G43" s="497"/>
      <c r="H43" s="450">
        <f>E12/30/12*7*100%</f>
        <v>36.337777777777774</v>
      </c>
      <c r="I43" s="450"/>
      <c r="J43" s="450"/>
      <c r="K43" s="136"/>
    </row>
    <row r="44" spans="1:11" ht="28.5" customHeight="1" x14ac:dyDescent="0.25">
      <c r="A44" s="956" t="s">
        <v>10</v>
      </c>
      <c r="B44" s="956"/>
      <c r="C44" s="478" t="s">
        <v>93</v>
      </c>
      <c r="D44" s="479"/>
      <c r="E44" s="497"/>
      <c r="F44" s="497"/>
      <c r="G44" s="497"/>
      <c r="H44" s="450">
        <f>H43*39.8%</f>
        <v>14.462435555555553</v>
      </c>
      <c r="I44" s="450"/>
      <c r="J44" s="450"/>
      <c r="K44" s="136"/>
    </row>
    <row r="45" spans="1:11" ht="30.75" customHeight="1" thickBot="1" x14ac:dyDescent="0.3">
      <c r="A45" s="958" t="s">
        <v>11</v>
      </c>
      <c r="B45" s="959"/>
      <c r="C45" s="834" t="s">
        <v>53</v>
      </c>
      <c r="D45" s="835"/>
      <c r="E45" s="836"/>
      <c r="F45" s="837"/>
      <c r="G45" s="838"/>
      <c r="H45" s="470">
        <f>E12*5%</f>
        <v>93.44</v>
      </c>
      <c r="I45" s="471"/>
      <c r="J45" s="472"/>
      <c r="K45" s="136"/>
    </row>
    <row r="46" spans="1:11" ht="15.75" thickBot="1" x14ac:dyDescent="0.3">
      <c r="A46" s="570" t="s">
        <v>318</v>
      </c>
      <c r="B46" s="571"/>
      <c r="C46" s="571"/>
      <c r="D46" s="571"/>
      <c r="E46" s="571"/>
      <c r="F46" s="571"/>
      <c r="G46" s="572"/>
      <c r="H46" s="547">
        <f>SUM(H40:J45)</f>
        <v>152.64981333333333</v>
      </c>
      <c r="I46" s="485"/>
      <c r="J46" s="486"/>
      <c r="K46" s="136"/>
    </row>
    <row r="47" spans="1:11" ht="11.25" customHeight="1" thickBot="1" x14ac:dyDescent="0.3">
      <c r="E47" s="131"/>
      <c r="F47" s="131"/>
      <c r="G47" s="131"/>
      <c r="K47" s="136"/>
    </row>
    <row r="48" spans="1:11" ht="33" customHeight="1" thickBot="1" x14ac:dyDescent="0.3">
      <c r="A48" s="494" t="s">
        <v>317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954" t="s">
        <v>2</v>
      </c>
      <c r="B49" s="955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36"/>
    </row>
    <row r="50" spans="1:11" x14ac:dyDescent="0.25">
      <c r="A50" s="954" t="s">
        <v>7</v>
      </c>
      <c r="B50" s="955"/>
      <c r="C50" s="452" t="s">
        <v>57</v>
      </c>
      <c r="D50" s="453"/>
      <c r="E50" s="128"/>
      <c r="F50" s="129"/>
      <c r="G50" s="130"/>
      <c r="H50" s="456">
        <f>E12/30/12</f>
        <v>5.1911111111111108</v>
      </c>
      <c r="I50" s="457"/>
      <c r="J50" s="453"/>
      <c r="K50" s="136"/>
    </row>
    <row r="51" spans="1:11" x14ac:dyDescent="0.25">
      <c r="A51" s="954" t="s">
        <v>8</v>
      </c>
      <c r="B51" s="955"/>
      <c r="C51" s="320" t="s">
        <v>58</v>
      </c>
      <c r="D51" s="321"/>
      <c r="E51" s="322"/>
      <c r="F51" s="323"/>
      <c r="G51" s="324"/>
      <c r="H51" s="450">
        <f>E12/30/12*5*1.5%</f>
        <v>0.38933333333333331</v>
      </c>
      <c r="I51" s="450"/>
      <c r="J51" s="450"/>
      <c r="K51" s="136"/>
    </row>
    <row r="52" spans="1:11" ht="30" customHeight="1" x14ac:dyDescent="0.25">
      <c r="A52" s="956" t="s">
        <v>9</v>
      </c>
      <c r="B52" s="956"/>
      <c r="C52" s="284" t="s">
        <v>59</v>
      </c>
      <c r="D52" s="286"/>
      <c r="E52" s="497"/>
      <c r="F52" s="497"/>
      <c r="G52" s="497"/>
      <c r="H52" s="450">
        <f>E12/30/12*15*8%</f>
        <v>6.2293333333333329</v>
      </c>
      <c r="I52" s="450"/>
      <c r="J52" s="450"/>
      <c r="K52" s="136"/>
    </row>
    <row r="53" spans="1:11" x14ac:dyDescent="0.25">
      <c r="A53" s="956" t="s">
        <v>10</v>
      </c>
      <c r="B53" s="956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956" t="s">
        <v>11</v>
      </c>
      <c r="B54" s="956"/>
      <c r="C54" s="478" t="s">
        <v>61</v>
      </c>
      <c r="D54" s="479"/>
      <c r="E54" s="497"/>
      <c r="F54" s="497"/>
      <c r="G54" s="497"/>
      <c r="H54" s="450">
        <f>E12/30/12*5*40%</f>
        <v>10.382222222222223</v>
      </c>
      <c r="I54" s="450"/>
      <c r="J54" s="450"/>
      <c r="K54" s="136"/>
    </row>
    <row r="55" spans="1:11" ht="29.25" customHeight="1" x14ac:dyDescent="0.25">
      <c r="A55" s="956" t="s">
        <v>39</v>
      </c>
      <c r="B55" s="956"/>
      <c r="C55" s="478" t="s">
        <v>62</v>
      </c>
      <c r="D55" s="479"/>
      <c r="E55" s="497"/>
      <c r="F55" s="497"/>
      <c r="G55" s="497"/>
      <c r="H55" s="450">
        <f>SUM(H49:J54)*39.8%</f>
        <v>8.8341018616666656</v>
      </c>
      <c r="I55" s="450"/>
      <c r="J55" s="450"/>
      <c r="K55" s="136"/>
    </row>
    <row r="56" spans="1:11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31.030337695</v>
      </c>
      <c r="I56" s="592"/>
      <c r="J56" s="592"/>
      <c r="K56" s="136"/>
    </row>
    <row r="57" spans="1:11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1" ht="28.5" customHeight="1" x14ac:dyDescent="0.25">
      <c r="A58" s="954" t="s">
        <v>2</v>
      </c>
      <c r="B58" s="955"/>
      <c r="C58" s="454" t="s">
        <v>64</v>
      </c>
      <c r="D58" s="455"/>
      <c r="E58" s="128"/>
      <c r="F58" s="129"/>
      <c r="G58" s="130"/>
      <c r="H58" s="456">
        <f>((((E12+(E12/3))*0.3333)/12)*2%)</f>
        <v>1.3841578666666667</v>
      </c>
      <c r="I58" s="457"/>
      <c r="J58" s="453"/>
      <c r="K58" s="136"/>
    </row>
    <row r="59" spans="1:11" ht="40.5" customHeight="1" x14ac:dyDescent="0.25">
      <c r="A59" s="954" t="s">
        <v>7</v>
      </c>
      <c r="B59" s="955"/>
      <c r="C59" s="454" t="s">
        <v>65</v>
      </c>
      <c r="D59" s="455"/>
      <c r="E59" s="128"/>
      <c r="F59" s="129"/>
      <c r="G59" s="130"/>
      <c r="H59" s="456">
        <f>H58*39.8%</f>
        <v>0.55089483093333336</v>
      </c>
      <c r="I59" s="457"/>
      <c r="J59" s="453"/>
      <c r="K59" s="136"/>
    </row>
    <row r="60" spans="1:11" ht="45" customHeight="1" x14ac:dyDescent="0.25">
      <c r="A60" s="954" t="s">
        <v>8</v>
      </c>
      <c r="B60" s="955"/>
      <c r="C60" s="454" t="s">
        <v>66</v>
      </c>
      <c r="D60" s="455"/>
      <c r="E60" s="322"/>
      <c r="F60" s="323"/>
      <c r="G60" s="324"/>
      <c r="H60" s="450">
        <f>(((E12+H17)*0.333)*2%)*39.8%</f>
        <v>5.3662248963071999</v>
      </c>
      <c r="I60" s="450"/>
      <c r="J60" s="450"/>
      <c r="K60" s="136"/>
    </row>
    <row r="61" spans="1:11" x14ac:dyDescent="0.25">
      <c r="A61" s="956" t="s">
        <v>9</v>
      </c>
      <c r="B61" s="956"/>
      <c r="C61" s="482" t="s">
        <v>67</v>
      </c>
      <c r="D61" s="483"/>
      <c r="E61" s="497"/>
      <c r="F61" s="497"/>
      <c r="G61" s="497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7.3012775939071997</v>
      </c>
      <c r="I62" s="592"/>
      <c r="J62" s="592"/>
      <c r="K62" s="136"/>
    </row>
    <row r="63" spans="1:11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1" ht="27" customHeight="1" x14ac:dyDescent="0.25">
      <c r="A64" s="954" t="s">
        <v>2</v>
      </c>
      <c r="B64" s="955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36"/>
    </row>
    <row r="65" spans="1:11" ht="33" customHeight="1" x14ac:dyDescent="0.25">
      <c r="A65" s="954" t="s">
        <v>7</v>
      </c>
      <c r="B65" s="955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1" ht="15.75" thickBot="1" x14ac:dyDescent="0.3">
      <c r="A67" s="458" t="s">
        <v>71</v>
      </c>
      <c r="B67" s="459"/>
      <c r="C67" s="459"/>
      <c r="D67" s="460"/>
      <c r="E67" s="587">
        <f>H66+H62+H56</f>
        <v>38.331740578599202</v>
      </c>
      <c r="F67" s="498"/>
      <c r="G67" s="498"/>
      <c r="H67" s="498"/>
      <c r="I67" s="498"/>
      <c r="J67" s="499"/>
      <c r="K67" s="136"/>
    </row>
    <row r="68" spans="1:11" ht="10.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36"/>
    </row>
    <row r="69" spans="1:11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1" x14ac:dyDescent="0.25">
      <c r="A70" s="954" t="s">
        <v>2</v>
      </c>
      <c r="B70" s="955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36"/>
    </row>
    <row r="71" spans="1:11" x14ac:dyDescent="0.25">
      <c r="A71" s="954" t="s">
        <v>7</v>
      </c>
      <c r="B71" s="955"/>
      <c r="C71" s="452" t="s">
        <v>75</v>
      </c>
      <c r="D71" s="453"/>
      <c r="E71" s="128"/>
      <c r="F71" s="129"/>
      <c r="G71" s="130"/>
      <c r="H71" s="456">
        <v>5.56</v>
      </c>
      <c r="I71" s="457"/>
      <c r="J71" s="453"/>
      <c r="K71" s="136"/>
    </row>
    <row r="72" spans="1:11" x14ac:dyDescent="0.25">
      <c r="A72" s="954" t="s">
        <v>8</v>
      </c>
      <c r="B72" s="955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957" t="s">
        <v>9</v>
      </c>
      <c r="B73" s="957"/>
      <c r="C73" s="473" t="s">
        <v>28</v>
      </c>
      <c r="D73" s="474"/>
      <c r="E73" s="842"/>
      <c r="F73" s="842"/>
      <c r="G73" s="842"/>
      <c r="H73" s="449">
        <f>E31/30/12*15*8%</f>
        <v>0</v>
      </c>
      <c r="I73" s="449"/>
      <c r="J73" s="449"/>
      <c r="K73" s="136"/>
    </row>
    <row r="74" spans="1:11" ht="15.75" thickBot="1" x14ac:dyDescent="0.3">
      <c r="A74" s="570" t="s">
        <v>320</v>
      </c>
      <c r="B74" s="571"/>
      <c r="C74" s="571"/>
      <c r="D74" s="571"/>
      <c r="E74" s="571"/>
      <c r="F74" s="571"/>
      <c r="G74" s="572"/>
      <c r="H74" s="547">
        <f>SUM(H70:J73)</f>
        <v>248.31</v>
      </c>
      <c r="I74" s="485"/>
      <c r="J74" s="486"/>
      <c r="K74" s="136"/>
    </row>
    <row r="75" spans="1:11" ht="9.75" customHeight="1" thickBot="1" x14ac:dyDescent="0.3">
      <c r="E75" s="131"/>
      <c r="F75" s="131"/>
      <c r="G75" s="131"/>
      <c r="K75" s="136"/>
    </row>
    <row r="76" spans="1:11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1" x14ac:dyDescent="0.25">
      <c r="A77" s="954" t="s">
        <v>2</v>
      </c>
      <c r="B77" s="955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300.87026641223531</v>
      </c>
      <c r="I77" s="457"/>
      <c r="J77" s="453"/>
      <c r="K77" s="136"/>
    </row>
    <row r="78" spans="1:11" x14ac:dyDescent="0.25">
      <c r="A78" s="954" t="s">
        <v>7</v>
      </c>
      <c r="B78" s="955"/>
      <c r="C78" s="452" t="s">
        <v>12</v>
      </c>
      <c r="D78" s="453"/>
      <c r="E78" s="843">
        <v>7.5775276633744088E-2</v>
      </c>
      <c r="F78" s="840"/>
      <c r="G78" s="841"/>
      <c r="H78" s="456">
        <f>E78*(H74+E67+H46+E37+E12)</f>
        <v>325.69325240364873</v>
      </c>
      <c r="I78" s="457"/>
      <c r="J78" s="453"/>
      <c r="K78" s="136"/>
    </row>
    <row r="79" spans="1:11" ht="15" customHeight="1" x14ac:dyDescent="0.25">
      <c r="A79" s="954" t="s">
        <v>8</v>
      </c>
      <c r="B79" s="955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5012.4159335649356</v>
      </c>
      <c r="I79" s="450"/>
      <c r="J79" s="450"/>
      <c r="K79" s="136"/>
    </row>
    <row r="80" spans="1:11" ht="15" customHeight="1" x14ac:dyDescent="0.25">
      <c r="A80" s="956" t="s">
        <v>9</v>
      </c>
      <c r="B80" s="956"/>
      <c r="C80" s="482" t="s">
        <v>79</v>
      </c>
      <c r="D80" s="483"/>
      <c r="E80" s="497">
        <v>1.6500000000000001E-2</v>
      </c>
      <c r="F80" s="497"/>
      <c r="G80" s="497"/>
      <c r="H80" s="450">
        <f>E80*J88</f>
        <v>53.111850000000004</v>
      </c>
      <c r="I80" s="450"/>
      <c r="J80" s="450"/>
      <c r="K80" s="136"/>
    </row>
    <row r="81" spans="1:11" ht="15" customHeight="1" x14ac:dyDescent="0.25">
      <c r="A81" s="956" t="s">
        <v>9</v>
      </c>
      <c r="B81" s="956"/>
      <c r="C81" s="482" t="s">
        <v>80</v>
      </c>
      <c r="D81" s="483"/>
      <c r="E81" s="497">
        <v>7.5999999999999998E-2</v>
      </c>
      <c r="F81" s="497"/>
      <c r="G81" s="497"/>
      <c r="H81" s="450">
        <f>E81*J88</f>
        <v>244.63640000000001</v>
      </c>
      <c r="I81" s="450"/>
      <c r="J81" s="450"/>
      <c r="K81" s="136"/>
    </row>
    <row r="82" spans="1:11" x14ac:dyDescent="0.25">
      <c r="A82" s="956" t="s">
        <v>10</v>
      </c>
      <c r="B82" s="956"/>
      <c r="C82" s="482" t="s">
        <v>81</v>
      </c>
      <c r="D82" s="483"/>
      <c r="E82" s="497"/>
      <c r="F82" s="497"/>
      <c r="G82" s="497"/>
      <c r="H82" s="450"/>
      <c r="I82" s="450"/>
      <c r="J82" s="450"/>
      <c r="K82" s="136"/>
    </row>
    <row r="83" spans="1:11" ht="15.75" thickBot="1" x14ac:dyDescent="0.3">
      <c r="A83" s="957" t="s">
        <v>11</v>
      </c>
      <c r="B83" s="957"/>
      <c r="C83" s="473" t="s">
        <v>110</v>
      </c>
      <c r="D83" s="474"/>
      <c r="E83" s="842">
        <v>0.05</v>
      </c>
      <c r="F83" s="842"/>
      <c r="G83" s="842"/>
      <c r="H83" s="449">
        <f>E83*J88</f>
        <v>160.94500000000002</v>
      </c>
      <c r="I83" s="449"/>
      <c r="J83" s="449"/>
      <c r="K83" s="136"/>
    </row>
    <row r="84" spans="1:11" ht="15.75" thickBot="1" x14ac:dyDescent="0.3">
      <c r="A84" s="570" t="s">
        <v>321</v>
      </c>
      <c r="B84" s="571"/>
      <c r="C84" s="571"/>
      <c r="D84" s="571"/>
      <c r="E84" s="571"/>
      <c r="F84" s="571"/>
      <c r="G84" s="572"/>
      <c r="H84" s="547">
        <f>H77+H78+H80+H81+H83</f>
        <v>1085.256768815884</v>
      </c>
      <c r="I84" s="485"/>
      <c r="J84" s="486"/>
      <c r="K84" s="136"/>
    </row>
    <row r="85" spans="1:11" ht="10.5" customHeight="1" thickBot="1" x14ac:dyDescent="0.3">
      <c r="E85" s="131"/>
      <c r="F85" s="131"/>
      <c r="G85" s="131"/>
      <c r="K85" s="136"/>
    </row>
    <row r="86" spans="1:11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1037">
        <f>SUM(H84+H74+E67+H46+E37+E12)</f>
        <v>5383.4034318478161</v>
      </c>
      <c r="I86" s="1038"/>
      <c r="J86" s="1039"/>
    </row>
    <row r="88" spans="1:11" x14ac:dyDescent="0.25">
      <c r="J88" s="174">
        <v>3218.9</v>
      </c>
    </row>
    <row r="89" spans="1:11" ht="15.75" thickBot="1" x14ac:dyDescent="0.3">
      <c r="D89" s="175"/>
    </row>
  </sheetData>
  <mergeCells count="230"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  <mergeCell ref="A12:D12"/>
    <mergeCell ref="E12:J12"/>
    <mergeCell ref="A13:D13"/>
    <mergeCell ref="E13:J13"/>
    <mergeCell ref="A14:J14"/>
    <mergeCell ref="A15:J15"/>
    <mergeCell ref="B9:D9"/>
    <mergeCell ref="E9:J9"/>
    <mergeCell ref="B10:D10"/>
    <mergeCell ref="E10:J10"/>
    <mergeCell ref="B11:D11"/>
    <mergeCell ref="E11:J11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/>
  </sheetPr>
  <dimension ref="A1:L89"/>
  <sheetViews>
    <sheetView workbookViewId="0">
      <selection activeCell="O13" sqref="O13"/>
    </sheetView>
  </sheetViews>
  <sheetFormatPr defaultRowHeight="15" x14ac:dyDescent="0.25"/>
  <cols>
    <col min="1" max="1" width="6.7109375" style="146" customWidth="1"/>
    <col min="2" max="2" width="3.28515625" style="134" customWidth="1"/>
    <col min="3" max="3" width="15.28515625" style="134" customWidth="1"/>
    <col min="4" max="4" width="32.5703125" style="134" customWidth="1"/>
    <col min="5" max="5" width="3.140625" style="116" customWidth="1"/>
    <col min="6" max="6" width="2" style="116" customWidth="1"/>
    <col min="7" max="7" width="4" style="116" customWidth="1"/>
    <col min="8" max="8" width="4.140625" style="161" customWidth="1"/>
    <col min="9" max="9" width="3.7109375" style="161" hidden="1" customWidth="1"/>
    <col min="10" max="10" width="12.28515625" style="161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413</v>
      </c>
      <c r="E2" s="738"/>
      <c r="F2" s="738"/>
      <c r="G2" s="738"/>
      <c r="H2" s="738"/>
      <c r="I2" s="738"/>
      <c r="J2" s="739"/>
      <c r="K2" s="136"/>
    </row>
    <row r="3" spans="1:12" ht="11.2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2" x14ac:dyDescent="0.25">
      <c r="A6" s="123" t="s">
        <v>2</v>
      </c>
      <c r="B6" s="606" t="s">
        <v>1</v>
      </c>
      <c r="C6" s="607"/>
      <c r="D6" s="608"/>
      <c r="E6" s="1009">
        <v>7328.67</v>
      </c>
      <c r="F6" s="1009"/>
      <c r="G6" s="1009"/>
      <c r="H6" s="1009"/>
      <c r="I6" s="1009"/>
      <c r="J6" s="1009"/>
      <c r="K6" s="136"/>
    </row>
    <row r="7" spans="1:12" x14ac:dyDescent="0.25">
      <c r="A7" s="123" t="s">
        <v>7</v>
      </c>
      <c r="B7" s="606" t="s">
        <v>25</v>
      </c>
      <c r="C7" s="607"/>
      <c r="D7" s="608"/>
      <c r="E7" s="1011"/>
      <c r="F7" s="1012"/>
      <c r="G7" s="1012"/>
      <c r="H7" s="1012"/>
      <c r="I7" s="1012"/>
      <c r="J7" s="1013"/>
      <c r="K7" s="136"/>
    </row>
    <row r="8" spans="1:12" x14ac:dyDescent="0.25">
      <c r="A8" s="123" t="s">
        <v>8</v>
      </c>
      <c r="B8" s="606" t="s">
        <v>26</v>
      </c>
      <c r="C8" s="607"/>
      <c r="D8" s="608"/>
      <c r="E8" s="1011"/>
      <c r="F8" s="1012"/>
      <c r="G8" s="1012"/>
      <c r="H8" s="1012"/>
      <c r="I8" s="1012"/>
      <c r="J8" s="1013"/>
      <c r="K8" s="136"/>
    </row>
    <row r="9" spans="1:12" x14ac:dyDescent="0.25">
      <c r="A9" s="123" t="s">
        <v>9</v>
      </c>
      <c r="B9" s="606" t="s">
        <v>27</v>
      </c>
      <c r="C9" s="607"/>
      <c r="D9" s="608"/>
      <c r="E9" s="1011"/>
      <c r="F9" s="1012"/>
      <c r="G9" s="1012"/>
      <c r="H9" s="1012"/>
      <c r="I9" s="1012"/>
      <c r="J9" s="1013"/>
      <c r="K9" s="136"/>
    </row>
    <row r="10" spans="1:12" x14ac:dyDescent="0.25">
      <c r="A10" s="123" t="s">
        <v>10</v>
      </c>
      <c r="B10" s="606" t="s">
        <v>28</v>
      </c>
      <c r="C10" s="607"/>
      <c r="D10" s="608"/>
      <c r="E10" s="1009">
        <f>E6*30%</f>
        <v>2198.6010000000001</v>
      </c>
      <c r="F10" s="1009"/>
      <c r="G10" s="1009"/>
      <c r="H10" s="1009"/>
      <c r="I10" s="1009"/>
      <c r="J10" s="1009"/>
      <c r="K10" s="136"/>
    </row>
    <row r="11" spans="1:12" ht="30" customHeight="1" thickBot="1" x14ac:dyDescent="0.3">
      <c r="A11" s="122" t="s">
        <v>11</v>
      </c>
      <c r="B11" s="609" t="s">
        <v>92</v>
      </c>
      <c r="C11" s="610"/>
      <c r="D11" s="611"/>
      <c r="E11" s="1010">
        <f>1045*40%</f>
        <v>418</v>
      </c>
      <c r="F11" s="1010"/>
      <c r="G11" s="1010"/>
      <c r="H11" s="1010"/>
      <c r="I11" s="1010"/>
      <c r="J11" s="1010"/>
      <c r="K11" s="136"/>
    </row>
    <row r="12" spans="1:12" ht="15.75" thickBot="1" x14ac:dyDescent="0.3">
      <c r="A12" s="458" t="s">
        <v>330</v>
      </c>
      <c r="B12" s="459"/>
      <c r="C12" s="459"/>
      <c r="D12" s="460"/>
      <c r="E12" s="547">
        <f>SUM(E6:J11)</f>
        <v>9945.2710000000006</v>
      </c>
      <c r="F12" s="485"/>
      <c r="G12" s="485"/>
      <c r="H12" s="485"/>
      <c r="I12" s="485"/>
      <c r="J12" s="486"/>
      <c r="K12" s="136"/>
    </row>
    <row r="13" spans="1:12" ht="28.5" customHeight="1" x14ac:dyDescent="0.25">
      <c r="A13" s="551" t="s">
        <v>29</v>
      </c>
      <c r="B13" s="552"/>
      <c r="C13" s="552"/>
      <c r="D13" s="553"/>
      <c r="E13" s="548">
        <f>E12*E30</f>
        <v>3659.8597280000008</v>
      </c>
      <c r="F13" s="549"/>
      <c r="G13" s="549"/>
      <c r="H13" s="549"/>
      <c r="I13" s="549"/>
      <c r="J13" s="550"/>
      <c r="K13" s="136"/>
    </row>
    <row r="14" spans="1:12" ht="11.2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389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x14ac:dyDescent="0.25">
      <c r="A17" s="123" t="s">
        <v>2</v>
      </c>
      <c r="B17" s="482" t="s">
        <v>125</v>
      </c>
      <c r="C17" s="521"/>
      <c r="D17" s="483"/>
      <c r="E17" s="322">
        <v>8.3299999999999999E-2</v>
      </c>
      <c r="F17" s="323"/>
      <c r="G17" s="324"/>
      <c r="H17" s="450">
        <f>E17*E12</f>
        <v>828.44107430000008</v>
      </c>
      <c r="I17" s="450"/>
      <c r="J17" s="450"/>
      <c r="K17" s="136"/>
    </row>
    <row r="18" spans="1:11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1203.3777910000001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2031.8188653000002</v>
      </c>
      <c r="I19" s="525"/>
      <c r="J19" s="525"/>
      <c r="K19" s="136"/>
    </row>
    <row r="20" spans="1:11" ht="27.75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777.72019220000016</v>
      </c>
      <c r="I20" s="291"/>
      <c r="J20" s="292"/>
      <c r="K20" s="136"/>
    </row>
    <row r="21" spans="1:11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2395.4179730600003</v>
      </c>
      <c r="I22" s="450"/>
      <c r="J22" s="450"/>
      <c r="K22" s="136"/>
    </row>
    <row r="23" spans="1:11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299.42724663250004</v>
      </c>
      <c r="I23" s="450"/>
      <c r="J23" s="450"/>
      <c r="K23" s="136"/>
    </row>
    <row r="24" spans="1:11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359.312695959</v>
      </c>
      <c r="I24" s="450"/>
      <c r="J24" s="450"/>
      <c r="K24" s="136"/>
    </row>
    <row r="25" spans="1:11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179.6563479795</v>
      </c>
      <c r="I25" s="450"/>
      <c r="J25" s="450"/>
      <c r="K25" s="136"/>
    </row>
    <row r="26" spans="1:11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119.770898653</v>
      </c>
      <c r="I26" s="450"/>
      <c r="J26" s="450"/>
      <c r="K26" s="136"/>
    </row>
    <row r="27" spans="1:11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71.86253919180001</v>
      </c>
      <c r="I27" s="450"/>
      <c r="J27" s="450"/>
      <c r="K27" s="136"/>
    </row>
    <row r="28" spans="1:11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23.9541797306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958.16718922400003</v>
      </c>
      <c r="I29" s="450"/>
      <c r="J29" s="450"/>
      <c r="K29" s="136"/>
    </row>
    <row r="30" spans="1:11" ht="15.75" customHeight="1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4407.5690704304006</v>
      </c>
      <c r="I30" s="592"/>
      <c r="J30" s="592"/>
      <c r="K30" s="136"/>
    </row>
    <row r="31" spans="1:11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1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v>0</v>
      </c>
      <c r="I32" s="450"/>
      <c r="J32" s="450"/>
      <c r="K32" s="136"/>
    </row>
    <row r="33" spans="1:11" x14ac:dyDescent="0.25">
      <c r="A33" s="482" t="s">
        <v>7</v>
      </c>
      <c r="B33" s="483"/>
      <c r="C33" s="482" t="s">
        <v>279</v>
      </c>
      <c r="D33" s="483"/>
      <c r="E33" s="497"/>
      <c r="F33" s="497"/>
      <c r="G33" s="497"/>
      <c r="H33" s="450">
        <f>16.6*25.5-20%</f>
        <v>423.1</v>
      </c>
      <c r="I33" s="450"/>
      <c r="J33" s="450"/>
      <c r="K33" s="136"/>
    </row>
    <row r="34" spans="1:11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70</v>
      </c>
      <c r="I34" s="450"/>
      <c r="J34" s="450"/>
      <c r="K34" s="136"/>
    </row>
    <row r="35" spans="1:11" x14ac:dyDescent="0.25">
      <c r="A35" s="482" t="s">
        <v>9</v>
      </c>
      <c r="B35" s="483"/>
      <c r="C35" s="478" t="s">
        <v>149</v>
      </c>
      <c r="D35" s="479"/>
      <c r="E35" s="497"/>
      <c r="F35" s="497"/>
      <c r="G35" s="497"/>
      <c r="H35" s="450">
        <v>155</v>
      </c>
      <c r="I35" s="450"/>
      <c r="J35" s="450"/>
      <c r="K35" s="136"/>
    </row>
    <row r="36" spans="1:11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648.1</v>
      </c>
      <c r="I36" s="451"/>
      <c r="J36" s="451"/>
      <c r="K36" s="136"/>
    </row>
    <row r="37" spans="1:11" ht="15.75" thickBot="1" x14ac:dyDescent="0.3">
      <c r="A37" s="458" t="s">
        <v>72</v>
      </c>
      <c r="B37" s="459"/>
      <c r="C37" s="459"/>
      <c r="D37" s="460"/>
      <c r="E37" s="587">
        <f>H19+H30+H36</f>
        <v>7087.4879357304017</v>
      </c>
      <c r="F37" s="498"/>
      <c r="G37" s="498"/>
      <c r="H37" s="498"/>
      <c r="I37" s="498"/>
      <c r="J37" s="499"/>
      <c r="K37" s="136"/>
    </row>
    <row r="38" spans="1:11" ht="11.2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</row>
    <row r="39" spans="1:11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1" x14ac:dyDescent="0.25">
      <c r="A40" s="452" t="s">
        <v>2</v>
      </c>
      <c r="B40" s="453"/>
      <c r="C40" s="452" t="s">
        <v>51</v>
      </c>
      <c r="D40" s="453"/>
      <c r="E40" s="128"/>
      <c r="F40" s="129"/>
      <c r="G40" s="130"/>
      <c r="H40" s="456">
        <f>E12/12*5%</f>
        <v>41.438629166666672</v>
      </c>
      <c r="I40" s="457"/>
      <c r="J40" s="453"/>
      <c r="K40" s="136"/>
    </row>
    <row r="41" spans="1:11" x14ac:dyDescent="0.25">
      <c r="A41" s="452" t="s">
        <v>7</v>
      </c>
      <c r="B41" s="453"/>
      <c r="C41" s="452" t="s">
        <v>52</v>
      </c>
      <c r="D41" s="453"/>
      <c r="E41" s="128"/>
      <c r="F41" s="129"/>
      <c r="G41" s="130"/>
      <c r="H41" s="456">
        <f>H40*8%</f>
        <v>3.3150903333333339</v>
      </c>
      <c r="I41" s="457"/>
      <c r="J41" s="453"/>
      <c r="K41" s="136"/>
    </row>
    <row r="42" spans="1:11" ht="30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481" t="s">
        <v>9</v>
      </c>
      <c r="B43" s="481"/>
      <c r="C43" s="482" t="s">
        <v>54</v>
      </c>
      <c r="D43" s="483"/>
      <c r="E43" s="497"/>
      <c r="F43" s="497"/>
      <c r="G43" s="497"/>
      <c r="H43" s="450">
        <f>E12/30/12*7*100%</f>
        <v>193.38026944444445</v>
      </c>
      <c r="I43" s="450"/>
      <c r="J43" s="450"/>
      <c r="K43" s="136"/>
    </row>
    <row r="44" spans="1:11" ht="30.75" customHeight="1" x14ac:dyDescent="0.25">
      <c r="A44" s="481" t="s">
        <v>10</v>
      </c>
      <c r="B44" s="481"/>
      <c r="C44" s="478" t="s">
        <v>93</v>
      </c>
      <c r="D44" s="479"/>
      <c r="E44" s="497"/>
      <c r="F44" s="497"/>
      <c r="G44" s="497"/>
      <c r="H44" s="450">
        <f>H43*39.8%</f>
        <v>76.965347238888882</v>
      </c>
      <c r="I44" s="450"/>
      <c r="J44" s="450"/>
      <c r="K44" s="136"/>
    </row>
    <row r="45" spans="1:11" ht="27" customHeight="1" thickBot="1" x14ac:dyDescent="0.3">
      <c r="A45" s="473" t="s">
        <v>11</v>
      </c>
      <c r="B45" s="474"/>
      <c r="C45" s="834" t="s">
        <v>53</v>
      </c>
      <c r="D45" s="835"/>
      <c r="E45" s="836"/>
      <c r="F45" s="837"/>
      <c r="G45" s="838"/>
      <c r="H45" s="470">
        <f>E12*5%</f>
        <v>497.26355000000007</v>
      </c>
      <c r="I45" s="471"/>
      <c r="J45" s="472"/>
      <c r="K45" s="136"/>
    </row>
    <row r="46" spans="1:11" ht="15.75" thickBot="1" x14ac:dyDescent="0.3">
      <c r="A46" s="570" t="s">
        <v>333</v>
      </c>
      <c r="B46" s="571"/>
      <c r="C46" s="571"/>
      <c r="D46" s="571"/>
      <c r="E46" s="571"/>
      <c r="F46" s="571"/>
      <c r="G46" s="572"/>
      <c r="H46" s="547">
        <f>SUM(H40:J45)</f>
        <v>812.36288618333333</v>
      </c>
      <c r="I46" s="485"/>
      <c r="J46" s="486"/>
      <c r="K46" s="136"/>
    </row>
    <row r="47" spans="1:11" ht="10.5" customHeight="1" thickBot="1" x14ac:dyDescent="0.3">
      <c r="E47" s="131"/>
      <c r="F47" s="131"/>
      <c r="G47" s="131"/>
      <c r="K47" s="136"/>
    </row>
    <row r="48" spans="1:11" ht="33" customHeight="1" thickBot="1" x14ac:dyDescent="0.3">
      <c r="A48" s="494" t="s">
        <v>371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452" t="s">
        <v>2</v>
      </c>
      <c r="B49" s="453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36"/>
    </row>
    <row r="50" spans="1:11" x14ac:dyDescent="0.25">
      <c r="A50" s="452" t="s">
        <v>7</v>
      </c>
      <c r="B50" s="453"/>
      <c r="C50" s="452" t="s">
        <v>57</v>
      </c>
      <c r="D50" s="453"/>
      <c r="E50" s="128"/>
      <c r="F50" s="129"/>
      <c r="G50" s="130"/>
      <c r="H50" s="456">
        <f>E12/30/12</f>
        <v>27.62575277777778</v>
      </c>
      <c r="I50" s="457"/>
      <c r="J50" s="453"/>
      <c r="K50" s="136"/>
    </row>
    <row r="51" spans="1:11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2.0719314583333333</v>
      </c>
      <c r="I51" s="450"/>
      <c r="J51" s="450"/>
      <c r="K51" s="136"/>
    </row>
    <row r="52" spans="1:11" ht="30" customHeight="1" x14ac:dyDescent="0.25">
      <c r="A52" s="481" t="s">
        <v>9</v>
      </c>
      <c r="B52" s="481"/>
      <c r="C52" s="284" t="s">
        <v>59</v>
      </c>
      <c r="D52" s="286"/>
      <c r="E52" s="497"/>
      <c r="F52" s="497"/>
      <c r="G52" s="497"/>
      <c r="H52" s="450">
        <f>E12/30/12*15*8%</f>
        <v>33.150903333333339</v>
      </c>
      <c r="I52" s="450"/>
      <c r="J52" s="450"/>
      <c r="K52" s="136"/>
    </row>
    <row r="53" spans="1:11" x14ac:dyDescent="0.25">
      <c r="A53" s="481" t="s">
        <v>10</v>
      </c>
      <c r="B53" s="481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481" t="s">
        <v>11</v>
      </c>
      <c r="B54" s="481"/>
      <c r="C54" s="478" t="s">
        <v>61</v>
      </c>
      <c r="D54" s="479"/>
      <c r="E54" s="497"/>
      <c r="F54" s="497"/>
      <c r="G54" s="497"/>
      <c r="H54" s="450">
        <f>E12/30/12*5*40%</f>
        <v>55.251505555555561</v>
      </c>
      <c r="I54" s="450"/>
      <c r="J54" s="450"/>
      <c r="K54" s="136"/>
    </row>
    <row r="55" spans="1:11" ht="28.5" customHeight="1" x14ac:dyDescent="0.25">
      <c r="A55" s="481" t="s">
        <v>39</v>
      </c>
      <c r="B55" s="481"/>
      <c r="C55" s="478" t="s">
        <v>62</v>
      </c>
      <c r="D55" s="479"/>
      <c r="E55" s="497"/>
      <c r="F55" s="497"/>
      <c r="G55" s="497"/>
      <c r="H55" s="450">
        <f>SUM(H49:J54)*39.8%</f>
        <v>47.00552292541667</v>
      </c>
      <c r="I55" s="450"/>
      <c r="J55" s="450"/>
      <c r="K55" s="136"/>
    </row>
    <row r="56" spans="1:11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165.10985188375003</v>
      </c>
      <c r="I56" s="592"/>
      <c r="J56" s="592"/>
      <c r="K56" s="136"/>
    </row>
    <row r="57" spans="1:11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1" ht="30" customHeight="1" x14ac:dyDescent="0.25">
      <c r="A58" s="452" t="s">
        <v>2</v>
      </c>
      <c r="B58" s="453"/>
      <c r="C58" s="454" t="s">
        <v>64</v>
      </c>
      <c r="D58" s="455"/>
      <c r="E58" s="128"/>
      <c r="F58" s="129"/>
      <c r="G58" s="130"/>
      <c r="H58" s="456">
        <f>((((E12+(E12/3))*0.3333)/12)*2%)</f>
        <v>7.3661307206666669</v>
      </c>
      <c r="I58" s="457"/>
      <c r="J58" s="453"/>
      <c r="K58" s="136"/>
    </row>
    <row r="59" spans="1:11" ht="44.25" customHeight="1" x14ac:dyDescent="0.25">
      <c r="A59" s="452" t="s">
        <v>7</v>
      </c>
      <c r="B59" s="453"/>
      <c r="C59" s="454" t="s">
        <v>65</v>
      </c>
      <c r="D59" s="455"/>
      <c r="E59" s="128"/>
      <c r="F59" s="129"/>
      <c r="G59" s="130"/>
      <c r="H59" s="456">
        <f>H58*39.8%</f>
        <v>2.9317200268253329</v>
      </c>
      <c r="I59" s="457"/>
      <c r="J59" s="453"/>
      <c r="K59" s="136"/>
    </row>
    <row r="60" spans="1:11" ht="43.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28.557663121105527</v>
      </c>
      <c r="I60" s="450"/>
      <c r="J60" s="450"/>
      <c r="K60" s="136"/>
    </row>
    <row r="61" spans="1:11" x14ac:dyDescent="0.25">
      <c r="A61" s="481" t="s">
        <v>9</v>
      </c>
      <c r="B61" s="481"/>
      <c r="C61" s="482" t="s">
        <v>67</v>
      </c>
      <c r="D61" s="483"/>
      <c r="E61" s="497"/>
      <c r="F61" s="497"/>
      <c r="G61" s="497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38.855513868597527</v>
      </c>
      <c r="I62" s="592"/>
      <c r="J62" s="592"/>
      <c r="K62" s="136"/>
    </row>
    <row r="63" spans="1:11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1" ht="28.5" customHeight="1" x14ac:dyDescent="0.25">
      <c r="A64" s="452" t="s">
        <v>2</v>
      </c>
      <c r="B64" s="453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36"/>
    </row>
    <row r="65" spans="1:11" ht="30.75" customHeight="1" x14ac:dyDescent="0.25">
      <c r="A65" s="452" t="s">
        <v>7</v>
      </c>
      <c r="B65" s="453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1" ht="15.75" thickBot="1" x14ac:dyDescent="0.3">
      <c r="A67" s="458" t="s">
        <v>71</v>
      </c>
      <c r="B67" s="459"/>
      <c r="C67" s="459"/>
      <c r="D67" s="460"/>
      <c r="E67" s="587">
        <f>H66+H62+H56</f>
        <v>203.96549104203956</v>
      </c>
      <c r="F67" s="498"/>
      <c r="G67" s="498"/>
      <c r="H67" s="498"/>
      <c r="I67" s="498"/>
      <c r="J67" s="499"/>
      <c r="K67" s="136"/>
    </row>
    <row r="68" spans="1:11" ht="10.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36"/>
    </row>
    <row r="69" spans="1:11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1" x14ac:dyDescent="0.25">
      <c r="A70" s="452" t="s">
        <v>2</v>
      </c>
      <c r="B70" s="453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36"/>
    </row>
    <row r="71" spans="1:11" x14ac:dyDescent="0.25">
      <c r="A71" s="452" t="s">
        <v>7</v>
      </c>
      <c r="B71" s="453"/>
      <c r="C71" s="452" t="s">
        <v>75</v>
      </c>
      <c r="D71" s="453"/>
      <c r="E71" s="128"/>
      <c r="F71" s="129"/>
      <c r="G71" s="130"/>
      <c r="H71" s="456">
        <v>5.56</v>
      </c>
      <c r="I71" s="457"/>
      <c r="J71" s="453"/>
      <c r="K71" s="136"/>
    </row>
    <row r="72" spans="1:11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477" t="s">
        <v>9</v>
      </c>
      <c r="B73" s="477"/>
      <c r="C73" s="473" t="s">
        <v>28</v>
      </c>
      <c r="D73" s="474"/>
      <c r="E73" s="842"/>
      <c r="F73" s="842"/>
      <c r="G73" s="842"/>
      <c r="H73" s="449">
        <f>E31/30/12*15*8%</f>
        <v>0</v>
      </c>
      <c r="I73" s="449"/>
      <c r="J73" s="449"/>
      <c r="K73" s="136"/>
    </row>
    <row r="74" spans="1:11" ht="15.75" thickBot="1" x14ac:dyDescent="0.3">
      <c r="A74" s="570" t="s">
        <v>71</v>
      </c>
      <c r="B74" s="571"/>
      <c r="C74" s="571"/>
      <c r="D74" s="571"/>
      <c r="E74" s="571"/>
      <c r="F74" s="571"/>
      <c r="G74" s="572"/>
      <c r="H74" s="547">
        <f>SUM(H70:J73)</f>
        <v>248.31</v>
      </c>
      <c r="I74" s="485"/>
      <c r="J74" s="486"/>
      <c r="K74" s="136"/>
    </row>
    <row r="75" spans="1:11" ht="9" customHeight="1" thickBot="1" x14ac:dyDescent="0.3">
      <c r="E75" s="131"/>
      <c r="F75" s="131"/>
      <c r="G75" s="131"/>
      <c r="K75" s="136"/>
    </row>
    <row r="76" spans="1:11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1" x14ac:dyDescent="0.25">
      <c r="A77" s="452" t="s">
        <v>2</v>
      </c>
      <c r="B77" s="453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1280.8178119069044</v>
      </c>
      <c r="I77" s="457"/>
      <c r="J77" s="453"/>
      <c r="K77" s="136"/>
    </row>
    <row r="78" spans="1:11" x14ac:dyDescent="0.25">
      <c r="A78" s="452" t="s">
        <v>7</v>
      </c>
      <c r="B78" s="453"/>
      <c r="C78" s="452" t="s">
        <v>12</v>
      </c>
      <c r="D78" s="453"/>
      <c r="E78" s="843">
        <v>7.5775276633744088E-2</v>
      </c>
      <c r="F78" s="840"/>
      <c r="G78" s="841"/>
      <c r="H78" s="456">
        <f>E78*(H74+E67+H46+E37+E12)</f>
        <v>1386.4903430667496</v>
      </c>
      <c r="I78" s="457"/>
      <c r="J78" s="453"/>
      <c r="K78" s="136"/>
    </row>
    <row r="79" spans="1:11" ht="15" customHeight="1" x14ac:dyDescent="0.25">
      <c r="A79" s="318" t="s">
        <v>8</v>
      </c>
      <c r="B79" s="319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21338.07266817</v>
      </c>
      <c r="I79" s="450"/>
      <c r="J79" s="450"/>
      <c r="K79" s="136"/>
    </row>
    <row r="80" spans="1:11" ht="15" customHeight="1" x14ac:dyDescent="0.25">
      <c r="A80" s="481" t="s">
        <v>9</v>
      </c>
      <c r="B80" s="481"/>
      <c r="C80" s="482" t="s">
        <v>79</v>
      </c>
      <c r="D80" s="483"/>
      <c r="E80" s="497">
        <v>1.6500000000000001E-2</v>
      </c>
      <c r="F80" s="497"/>
      <c r="G80" s="497"/>
      <c r="H80" s="450">
        <f>E80*J88</f>
        <v>53.111850000000004</v>
      </c>
      <c r="I80" s="450"/>
      <c r="J80" s="450"/>
      <c r="K80" s="136"/>
    </row>
    <row r="81" spans="1:11" ht="15" customHeight="1" x14ac:dyDescent="0.25">
      <c r="A81" s="481" t="s">
        <v>9</v>
      </c>
      <c r="B81" s="481"/>
      <c r="C81" s="482" t="s">
        <v>80</v>
      </c>
      <c r="D81" s="483"/>
      <c r="E81" s="497">
        <v>7.5999999999999998E-2</v>
      </c>
      <c r="F81" s="497"/>
      <c r="G81" s="497"/>
      <c r="H81" s="450">
        <f>E81*J88</f>
        <v>244.63640000000001</v>
      </c>
      <c r="I81" s="450"/>
      <c r="J81" s="450"/>
      <c r="K81" s="136"/>
    </row>
    <row r="82" spans="1:11" x14ac:dyDescent="0.25">
      <c r="A82" s="481" t="s">
        <v>10</v>
      </c>
      <c r="B82" s="481"/>
      <c r="C82" s="482" t="s">
        <v>81</v>
      </c>
      <c r="D82" s="483"/>
      <c r="E82" s="497"/>
      <c r="F82" s="497"/>
      <c r="G82" s="497"/>
      <c r="H82" s="450"/>
      <c r="I82" s="450"/>
      <c r="J82" s="450"/>
      <c r="K82" s="136"/>
    </row>
    <row r="83" spans="1:11" ht="15.75" thickBot="1" x14ac:dyDescent="0.3">
      <c r="A83" s="477" t="s">
        <v>11</v>
      </c>
      <c r="B83" s="477"/>
      <c r="C83" s="473" t="s">
        <v>110</v>
      </c>
      <c r="D83" s="474"/>
      <c r="E83" s="842">
        <v>0.05</v>
      </c>
      <c r="F83" s="842"/>
      <c r="G83" s="842"/>
      <c r="H83" s="449">
        <f>E83*J88</f>
        <v>160.94500000000002</v>
      </c>
      <c r="I83" s="449"/>
      <c r="J83" s="449"/>
      <c r="K83" s="136"/>
    </row>
    <row r="84" spans="1:11" ht="15.75" thickBot="1" x14ac:dyDescent="0.3">
      <c r="A84" s="570" t="s">
        <v>71</v>
      </c>
      <c r="B84" s="571"/>
      <c r="C84" s="571"/>
      <c r="D84" s="571"/>
      <c r="E84" s="571"/>
      <c r="F84" s="571"/>
      <c r="G84" s="572"/>
      <c r="H84" s="547">
        <f>H77+H78+H80+H81+H83</f>
        <v>3126.0014049736537</v>
      </c>
      <c r="I84" s="485"/>
      <c r="J84" s="486"/>
      <c r="K84" s="136"/>
    </row>
    <row r="85" spans="1:11" ht="11.25" customHeight="1" thickBot="1" x14ac:dyDescent="0.3">
      <c r="E85" s="131"/>
      <c r="F85" s="131"/>
      <c r="G85" s="131"/>
      <c r="K85" s="136"/>
    </row>
    <row r="86" spans="1:11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534">
        <f>SUM(H84+H74+E67+H46+E37+E12)</f>
        <v>21423.398717929427</v>
      </c>
      <c r="I86" s="535"/>
      <c r="J86" s="536"/>
    </row>
    <row r="88" spans="1:11" x14ac:dyDescent="0.25">
      <c r="J88" s="174">
        <v>3218.9</v>
      </c>
    </row>
    <row r="89" spans="1:11" ht="15.75" thickBot="1" x14ac:dyDescent="0.3">
      <c r="D89" s="175"/>
    </row>
  </sheetData>
  <mergeCells count="230"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12:D12"/>
    <mergeCell ref="E12:J12"/>
    <mergeCell ref="A13:D13"/>
    <mergeCell ref="E13:J13"/>
    <mergeCell ref="A14:J14"/>
    <mergeCell ref="A15:J15"/>
    <mergeCell ref="B9:D9"/>
    <mergeCell ref="E9:J9"/>
    <mergeCell ref="B10:D10"/>
    <mergeCell ref="E10:J10"/>
    <mergeCell ref="B11:D11"/>
    <mergeCell ref="E11:J11"/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/>
  </sheetPr>
  <dimension ref="A1:R89"/>
  <sheetViews>
    <sheetView workbookViewId="0">
      <selection activeCell="N12" sqref="N12"/>
    </sheetView>
  </sheetViews>
  <sheetFormatPr defaultRowHeight="15" x14ac:dyDescent="0.25"/>
  <cols>
    <col min="1" max="1" width="6.7109375" style="146" customWidth="1"/>
    <col min="2" max="2" width="3.28515625" style="146" customWidth="1"/>
    <col min="3" max="3" width="15.28515625" style="134" customWidth="1"/>
    <col min="4" max="4" width="33.28515625" style="134" customWidth="1"/>
    <col min="5" max="5" width="3.140625" style="116" customWidth="1"/>
    <col min="6" max="6" width="2" style="116" customWidth="1"/>
    <col min="7" max="7" width="3.7109375" style="116" customWidth="1"/>
    <col min="8" max="8" width="4.140625" style="161" customWidth="1"/>
    <col min="9" max="9" width="3.7109375" style="161" hidden="1" customWidth="1"/>
    <col min="10" max="10" width="12.42578125" style="161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292</v>
      </c>
      <c r="E2" s="738"/>
      <c r="F2" s="738"/>
      <c r="G2" s="738"/>
      <c r="H2" s="738"/>
      <c r="I2" s="738"/>
      <c r="J2" s="739"/>
      <c r="K2" s="136"/>
    </row>
    <row r="3" spans="1:12" ht="10.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2" x14ac:dyDescent="0.25">
      <c r="A6" s="123" t="s">
        <v>2</v>
      </c>
      <c r="B6" s="606" t="s">
        <v>1</v>
      </c>
      <c r="C6" s="607"/>
      <c r="D6" s="608"/>
      <c r="E6" s="1009">
        <v>12229.83</v>
      </c>
      <c r="F6" s="1009"/>
      <c r="G6" s="1009"/>
      <c r="H6" s="1009"/>
      <c r="I6" s="1009"/>
      <c r="J6" s="1009"/>
      <c r="K6" s="136"/>
    </row>
    <row r="7" spans="1:12" x14ac:dyDescent="0.25">
      <c r="A7" s="123" t="s">
        <v>7</v>
      </c>
      <c r="B7" s="606" t="s">
        <v>25</v>
      </c>
      <c r="C7" s="607"/>
      <c r="D7" s="608"/>
      <c r="E7" s="1011"/>
      <c r="F7" s="1012"/>
      <c r="G7" s="1012"/>
      <c r="H7" s="1012"/>
      <c r="I7" s="1012"/>
      <c r="J7" s="1013"/>
      <c r="K7" s="136"/>
    </row>
    <row r="8" spans="1:12" x14ac:dyDescent="0.25">
      <c r="A8" s="123" t="s">
        <v>8</v>
      </c>
      <c r="B8" s="606" t="s">
        <v>26</v>
      </c>
      <c r="C8" s="607"/>
      <c r="D8" s="608"/>
      <c r="E8" s="1011"/>
      <c r="F8" s="1012"/>
      <c r="G8" s="1012"/>
      <c r="H8" s="1012"/>
      <c r="I8" s="1012"/>
      <c r="J8" s="1013"/>
      <c r="K8" s="136"/>
    </row>
    <row r="9" spans="1:12" x14ac:dyDescent="0.25">
      <c r="A9" s="123" t="s">
        <v>9</v>
      </c>
      <c r="B9" s="606" t="s">
        <v>27</v>
      </c>
      <c r="C9" s="607"/>
      <c r="D9" s="608"/>
      <c r="E9" s="1011"/>
      <c r="F9" s="1012"/>
      <c r="G9" s="1012"/>
      <c r="H9" s="1012"/>
      <c r="I9" s="1012"/>
      <c r="J9" s="1013"/>
      <c r="K9" s="136"/>
    </row>
    <row r="10" spans="1:12" x14ac:dyDescent="0.25">
      <c r="A10" s="123" t="s">
        <v>10</v>
      </c>
      <c r="B10" s="606" t="s">
        <v>28</v>
      </c>
      <c r="C10" s="607"/>
      <c r="D10" s="608"/>
      <c r="E10" s="1009">
        <f>E6*30%</f>
        <v>3668.9490000000001</v>
      </c>
      <c r="F10" s="1009"/>
      <c r="G10" s="1009"/>
      <c r="H10" s="1009"/>
      <c r="I10" s="1009"/>
      <c r="J10" s="1009"/>
      <c r="K10" s="136"/>
    </row>
    <row r="11" spans="1:12" ht="28.5" customHeight="1" thickBot="1" x14ac:dyDescent="0.3">
      <c r="A11" s="122" t="s">
        <v>11</v>
      </c>
      <c r="B11" s="609" t="s">
        <v>92</v>
      </c>
      <c r="C11" s="610"/>
      <c r="D11" s="611"/>
      <c r="E11" s="1010">
        <f>1045*40%</f>
        <v>418</v>
      </c>
      <c r="F11" s="1010"/>
      <c r="G11" s="1010"/>
      <c r="H11" s="1010"/>
      <c r="I11" s="1010"/>
      <c r="J11" s="1010"/>
      <c r="K11" s="136"/>
    </row>
    <row r="12" spans="1:12" ht="15.75" thickBot="1" x14ac:dyDescent="0.3">
      <c r="A12" s="1045" t="s">
        <v>330</v>
      </c>
      <c r="B12" s="1046"/>
      <c r="C12" s="1046"/>
      <c r="D12" s="1047"/>
      <c r="E12" s="1048">
        <f>SUM(E6:J11)</f>
        <v>16316.779</v>
      </c>
      <c r="F12" s="1049"/>
      <c r="G12" s="1049"/>
      <c r="H12" s="1049"/>
      <c r="I12" s="1049"/>
      <c r="J12" s="1050"/>
      <c r="K12" s="136"/>
    </row>
    <row r="13" spans="1:12" ht="27.75" customHeight="1" x14ac:dyDescent="0.25">
      <c r="A13" s="551" t="s">
        <v>29</v>
      </c>
      <c r="B13" s="552"/>
      <c r="C13" s="552"/>
      <c r="D13" s="553"/>
      <c r="E13" s="548">
        <f>E12*E30</f>
        <v>6004.5746720000006</v>
      </c>
      <c r="F13" s="549"/>
      <c r="G13" s="549"/>
      <c r="H13" s="549"/>
      <c r="I13" s="549"/>
      <c r="J13" s="550"/>
      <c r="K13" s="136"/>
    </row>
    <row r="14" spans="1:12" ht="10.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2" ht="27.75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8" x14ac:dyDescent="0.25">
      <c r="A17" s="123" t="s">
        <v>2</v>
      </c>
      <c r="B17" s="482" t="s">
        <v>125</v>
      </c>
      <c r="C17" s="521"/>
      <c r="D17" s="483"/>
      <c r="E17" s="322">
        <v>8.3299999999999999E-2</v>
      </c>
      <c r="F17" s="323"/>
      <c r="G17" s="324"/>
      <c r="H17" s="450">
        <f>E17*E12</f>
        <v>1359.1876907000001</v>
      </c>
      <c r="I17" s="450"/>
      <c r="J17" s="450"/>
      <c r="K17" s="136"/>
    </row>
    <row r="18" spans="1:18" x14ac:dyDescent="0.25">
      <c r="A18" s="123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1974.3302590000001</v>
      </c>
      <c r="I18" s="450"/>
      <c r="J18" s="450"/>
      <c r="K18" s="136"/>
    </row>
    <row r="19" spans="1:18" ht="15.75" thickBot="1" x14ac:dyDescent="0.3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3333.5179496999999</v>
      </c>
      <c r="I19" s="525"/>
      <c r="J19" s="525"/>
      <c r="K19" s="136"/>
    </row>
    <row r="20" spans="1:18" ht="27" customHeight="1" thickBot="1" x14ac:dyDescent="0.3">
      <c r="A20" s="123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1275.9721178000002</v>
      </c>
      <c r="I20" s="291"/>
      <c r="J20" s="292"/>
      <c r="K20" s="136"/>
      <c r="R20" s="182"/>
    </row>
    <row r="21" spans="1:18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8" x14ac:dyDescent="0.25">
      <c r="A22" s="532" t="s">
        <v>2</v>
      </c>
      <c r="B22" s="533"/>
      <c r="C22" s="510" t="s">
        <v>3</v>
      </c>
      <c r="D22" s="511"/>
      <c r="E22" s="603">
        <v>0.2</v>
      </c>
      <c r="F22" s="603"/>
      <c r="G22" s="603"/>
      <c r="H22" s="450">
        <f>E22*(E12+H19)</f>
        <v>3930.0593899400005</v>
      </c>
      <c r="I22" s="450"/>
      <c r="J22" s="450"/>
      <c r="K22" s="136"/>
    </row>
    <row r="23" spans="1:18" x14ac:dyDescent="0.25">
      <c r="A23" s="532" t="s">
        <v>7</v>
      </c>
      <c r="B23" s="53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491.25742374250007</v>
      </c>
      <c r="I23" s="450"/>
      <c r="J23" s="450"/>
      <c r="K23" s="136"/>
    </row>
    <row r="24" spans="1:18" x14ac:dyDescent="0.25">
      <c r="A24" s="532" t="s">
        <v>8</v>
      </c>
      <c r="B24" s="533"/>
      <c r="C24" s="512" t="s">
        <v>42</v>
      </c>
      <c r="D24" s="513"/>
      <c r="E24" s="514">
        <v>0.03</v>
      </c>
      <c r="F24" s="514"/>
      <c r="G24" s="514"/>
      <c r="H24" s="450">
        <f>E24*(E12+H19)</f>
        <v>589.50890849100006</v>
      </c>
      <c r="I24" s="450"/>
      <c r="J24" s="450"/>
      <c r="K24" s="136"/>
    </row>
    <row r="25" spans="1:18" x14ac:dyDescent="0.25">
      <c r="A25" s="532" t="s">
        <v>9</v>
      </c>
      <c r="B25" s="53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294.75445424550003</v>
      </c>
      <c r="I25" s="450"/>
      <c r="J25" s="450"/>
      <c r="K25" s="136"/>
    </row>
    <row r="26" spans="1:18" x14ac:dyDescent="0.25">
      <c r="A26" s="532" t="s">
        <v>10</v>
      </c>
      <c r="B26" s="533"/>
      <c r="C26" s="482" t="s">
        <v>44</v>
      </c>
      <c r="D26" s="483"/>
      <c r="E26" s="497">
        <v>0.01</v>
      </c>
      <c r="F26" s="497"/>
      <c r="G26" s="497"/>
      <c r="H26" s="450">
        <f>E26*(E12+H19)</f>
        <v>196.50296949700001</v>
      </c>
      <c r="I26" s="450"/>
      <c r="J26" s="450"/>
      <c r="K26" s="136"/>
    </row>
    <row r="27" spans="1:18" x14ac:dyDescent="0.25">
      <c r="A27" s="532" t="s">
        <v>11</v>
      </c>
      <c r="B27" s="53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117.90178169820001</v>
      </c>
      <c r="I27" s="450"/>
      <c r="J27" s="450"/>
      <c r="K27" s="136"/>
    </row>
    <row r="28" spans="1:18" x14ac:dyDescent="0.25">
      <c r="A28" s="532" t="s">
        <v>39</v>
      </c>
      <c r="B28" s="533"/>
      <c r="C28" s="482" t="s">
        <v>5</v>
      </c>
      <c r="D28" s="483"/>
      <c r="E28" s="497">
        <v>2E-3</v>
      </c>
      <c r="F28" s="497"/>
      <c r="G28" s="497"/>
      <c r="H28" s="450">
        <f>E28*(E12+H19)</f>
        <v>39.300593899400006</v>
      </c>
      <c r="I28" s="450"/>
      <c r="J28" s="450"/>
      <c r="K28" s="136"/>
    </row>
    <row r="29" spans="1:18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1572.0237559760001</v>
      </c>
      <c r="I29" s="450"/>
      <c r="J29" s="450"/>
      <c r="K29" s="136"/>
    </row>
    <row r="30" spans="1:18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7231.3092774895995</v>
      </c>
      <c r="I30" s="592"/>
      <c r="J30" s="592"/>
      <c r="K30" s="136"/>
    </row>
    <row r="31" spans="1:18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8" x14ac:dyDescent="0.25">
      <c r="A32" s="532" t="s">
        <v>2</v>
      </c>
      <c r="B32" s="533"/>
      <c r="C32" s="510" t="s">
        <v>46</v>
      </c>
      <c r="D32" s="511"/>
      <c r="E32" s="603"/>
      <c r="F32" s="603"/>
      <c r="G32" s="603"/>
      <c r="H32" s="450">
        <v>0</v>
      </c>
      <c r="I32" s="450"/>
      <c r="J32" s="450"/>
      <c r="K32" s="136"/>
    </row>
    <row r="33" spans="1:11" x14ac:dyDescent="0.25">
      <c r="A33" s="532" t="s">
        <v>7</v>
      </c>
      <c r="B33" s="533"/>
      <c r="C33" s="482" t="s">
        <v>279</v>
      </c>
      <c r="D33" s="483"/>
      <c r="E33" s="497"/>
      <c r="F33" s="497"/>
      <c r="G33" s="497"/>
      <c r="H33" s="450">
        <f>16.6*25.5-20%</f>
        <v>423.1</v>
      </c>
      <c r="I33" s="450"/>
      <c r="J33" s="450"/>
      <c r="K33" s="136"/>
    </row>
    <row r="34" spans="1:11" x14ac:dyDescent="0.25">
      <c r="A34" s="532" t="s">
        <v>8</v>
      </c>
      <c r="B34" s="533"/>
      <c r="C34" s="284" t="s">
        <v>49</v>
      </c>
      <c r="D34" s="286"/>
      <c r="E34" s="497"/>
      <c r="F34" s="497"/>
      <c r="G34" s="497"/>
      <c r="H34" s="450">
        <v>70</v>
      </c>
      <c r="I34" s="450"/>
      <c r="J34" s="450"/>
      <c r="K34" s="136"/>
    </row>
    <row r="35" spans="1:11" x14ac:dyDescent="0.25">
      <c r="A35" s="532" t="s">
        <v>9</v>
      </c>
      <c r="B35" s="533"/>
      <c r="C35" s="478" t="s">
        <v>149</v>
      </c>
      <c r="D35" s="479"/>
      <c r="E35" s="497"/>
      <c r="F35" s="497"/>
      <c r="G35" s="497"/>
      <c r="H35" s="450">
        <v>155</v>
      </c>
      <c r="I35" s="450"/>
      <c r="J35" s="450"/>
      <c r="K35" s="136"/>
    </row>
    <row r="36" spans="1:11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648.1</v>
      </c>
      <c r="I36" s="451"/>
      <c r="J36" s="451"/>
      <c r="K36" s="136"/>
    </row>
    <row r="37" spans="1:11" ht="15.75" thickBot="1" x14ac:dyDescent="0.3">
      <c r="A37" s="1045" t="s">
        <v>72</v>
      </c>
      <c r="B37" s="1046"/>
      <c r="C37" s="1046"/>
      <c r="D37" s="1047"/>
      <c r="E37" s="1051">
        <f>H19+H30+H36</f>
        <v>11212.927227189599</v>
      </c>
      <c r="F37" s="1052"/>
      <c r="G37" s="1052"/>
      <c r="H37" s="1052"/>
      <c r="I37" s="1052"/>
      <c r="J37" s="1053"/>
      <c r="K37" s="136"/>
    </row>
    <row r="38" spans="1:11" ht="10.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</row>
    <row r="39" spans="1:11" ht="27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1" x14ac:dyDescent="0.25">
      <c r="A40" s="954" t="s">
        <v>2</v>
      </c>
      <c r="B40" s="955"/>
      <c r="C40" s="452" t="s">
        <v>51</v>
      </c>
      <c r="D40" s="453"/>
      <c r="E40" s="128"/>
      <c r="F40" s="129"/>
      <c r="G40" s="130"/>
      <c r="H40" s="456">
        <f>E12/12*5%</f>
        <v>67.986579166666672</v>
      </c>
      <c r="I40" s="457"/>
      <c r="J40" s="453"/>
      <c r="K40" s="136"/>
    </row>
    <row r="41" spans="1:11" x14ac:dyDescent="0.25">
      <c r="A41" s="954" t="s">
        <v>7</v>
      </c>
      <c r="B41" s="955"/>
      <c r="C41" s="452" t="s">
        <v>52</v>
      </c>
      <c r="D41" s="453"/>
      <c r="E41" s="128"/>
      <c r="F41" s="129"/>
      <c r="G41" s="130"/>
      <c r="H41" s="456">
        <f>H40*8%</f>
        <v>5.4389263333333338</v>
      </c>
      <c r="I41" s="457"/>
      <c r="J41" s="453"/>
      <c r="K41" s="136"/>
    </row>
    <row r="42" spans="1:11" ht="30" customHeight="1" x14ac:dyDescent="0.25">
      <c r="A42" s="954" t="s">
        <v>8</v>
      </c>
      <c r="B42" s="955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956" t="s">
        <v>9</v>
      </c>
      <c r="B43" s="956"/>
      <c r="C43" s="482" t="s">
        <v>54</v>
      </c>
      <c r="D43" s="483"/>
      <c r="E43" s="497"/>
      <c r="F43" s="497"/>
      <c r="G43" s="497"/>
      <c r="H43" s="450">
        <f>E12/30/12*7*100%</f>
        <v>317.27070277777784</v>
      </c>
      <c r="I43" s="450"/>
      <c r="J43" s="450"/>
      <c r="K43" s="136"/>
    </row>
    <row r="44" spans="1:11" ht="26.25" customHeight="1" x14ac:dyDescent="0.25">
      <c r="A44" s="956" t="s">
        <v>10</v>
      </c>
      <c r="B44" s="956"/>
      <c r="C44" s="478" t="s">
        <v>93</v>
      </c>
      <c r="D44" s="479"/>
      <c r="E44" s="497"/>
      <c r="F44" s="497"/>
      <c r="G44" s="497"/>
      <c r="H44" s="450">
        <f>H43*39.8%</f>
        <v>126.27373970555557</v>
      </c>
      <c r="I44" s="450"/>
      <c r="J44" s="450"/>
      <c r="K44" s="136"/>
    </row>
    <row r="45" spans="1:11" ht="29.25" customHeight="1" thickBot="1" x14ac:dyDescent="0.3">
      <c r="A45" s="958" t="s">
        <v>11</v>
      </c>
      <c r="B45" s="959"/>
      <c r="C45" s="475" t="s">
        <v>53</v>
      </c>
      <c r="D45" s="476"/>
      <c r="E45" s="836"/>
      <c r="F45" s="837"/>
      <c r="G45" s="838"/>
      <c r="H45" s="470">
        <f>E12*5%</f>
        <v>815.83895000000007</v>
      </c>
      <c r="I45" s="471"/>
      <c r="J45" s="472"/>
      <c r="K45" s="136"/>
    </row>
    <row r="46" spans="1:11" ht="15.75" thickBot="1" x14ac:dyDescent="0.3">
      <c r="A46" s="719" t="s">
        <v>333</v>
      </c>
      <c r="B46" s="720"/>
      <c r="C46" s="720"/>
      <c r="D46" s="720"/>
      <c r="E46" s="720"/>
      <c r="F46" s="720"/>
      <c r="G46" s="721"/>
      <c r="H46" s="1048">
        <f>SUM(H40:J45)</f>
        <v>1332.8088979833335</v>
      </c>
      <c r="I46" s="1049"/>
      <c r="J46" s="1050"/>
      <c r="K46" s="136"/>
    </row>
    <row r="47" spans="1:11" ht="9.75" customHeight="1" thickBot="1" x14ac:dyDescent="0.3">
      <c r="E47" s="131"/>
      <c r="F47" s="131"/>
      <c r="G47" s="131"/>
      <c r="K47" s="136"/>
    </row>
    <row r="48" spans="1:11" ht="33" customHeight="1" thickBot="1" x14ac:dyDescent="0.3">
      <c r="A48" s="494" t="s">
        <v>388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954" t="s">
        <v>2</v>
      </c>
      <c r="B49" s="955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36"/>
    </row>
    <row r="50" spans="1:11" x14ac:dyDescent="0.25">
      <c r="A50" s="954" t="s">
        <v>7</v>
      </c>
      <c r="B50" s="955"/>
      <c r="C50" s="452" t="s">
        <v>57</v>
      </c>
      <c r="D50" s="453"/>
      <c r="E50" s="128"/>
      <c r="F50" s="129"/>
      <c r="G50" s="130"/>
      <c r="H50" s="456">
        <f>E12/30/12</f>
        <v>45.324386111111117</v>
      </c>
      <c r="I50" s="457"/>
      <c r="J50" s="453"/>
      <c r="K50" s="136"/>
    </row>
    <row r="51" spans="1:11" x14ac:dyDescent="0.25">
      <c r="A51" s="954" t="s">
        <v>8</v>
      </c>
      <c r="B51" s="955"/>
      <c r="C51" s="320" t="s">
        <v>58</v>
      </c>
      <c r="D51" s="321"/>
      <c r="E51" s="322"/>
      <c r="F51" s="323"/>
      <c r="G51" s="324"/>
      <c r="H51" s="450">
        <f>E12/30/12*5*1.5%</f>
        <v>3.3993289583333337</v>
      </c>
      <c r="I51" s="450"/>
      <c r="J51" s="450"/>
      <c r="K51" s="136"/>
    </row>
    <row r="52" spans="1:11" ht="30" customHeight="1" x14ac:dyDescent="0.25">
      <c r="A52" s="956" t="s">
        <v>9</v>
      </c>
      <c r="B52" s="956"/>
      <c r="C52" s="284" t="s">
        <v>59</v>
      </c>
      <c r="D52" s="286"/>
      <c r="E52" s="497"/>
      <c r="F52" s="497"/>
      <c r="G52" s="497"/>
      <c r="H52" s="450">
        <f>E12/30/12*15*8%</f>
        <v>54.389263333333339</v>
      </c>
      <c r="I52" s="450"/>
      <c r="J52" s="450"/>
      <c r="K52" s="136"/>
    </row>
    <row r="53" spans="1:11" x14ac:dyDescent="0.25">
      <c r="A53" s="956" t="s">
        <v>10</v>
      </c>
      <c r="B53" s="956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956" t="s">
        <v>11</v>
      </c>
      <c r="B54" s="956"/>
      <c r="C54" s="478" t="s">
        <v>61</v>
      </c>
      <c r="D54" s="479"/>
      <c r="E54" s="497"/>
      <c r="F54" s="497"/>
      <c r="G54" s="497"/>
      <c r="H54" s="450">
        <f>E12/30/12*5*40%</f>
        <v>90.648772222222249</v>
      </c>
      <c r="I54" s="450"/>
      <c r="J54" s="450"/>
      <c r="K54" s="136"/>
    </row>
    <row r="55" spans="1:11" ht="27.75" customHeight="1" x14ac:dyDescent="0.25">
      <c r="A55" s="956" t="s">
        <v>39</v>
      </c>
      <c r="B55" s="956"/>
      <c r="C55" s="478" t="s">
        <v>62</v>
      </c>
      <c r="D55" s="479"/>
      <c r="E55" s="497"/>
      <c r="F55" s="497"/>
      <c r="G55" s="497"/>
      <c r="H55" s="450">
        <f>SUM(H49:J54)*39.8%</f>
        <v>77.11886261041667</v>
      </c>
      <c r="I55" s="450"/>
      <c r="J55" s="450"/>
      <c r="K55" s="136"/>
    </row>
    <row r="56" spans="1:11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270.88484906875004</v>
      </c>
      <c r="I56" s="592"/>
      <c r="J56" s="592"/>
      <c r="K56" s="136"/>
    </row>
    <row r="57" spans="1:11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1" ht="33" customHeight="1" x14ac:dyDescent="0.25">
      <c r="A58" s="954" t="s">
        <v>2</v>
      </c>
      <c r="B58" s="955"/>
      <c r="C58" s="454" t="s">
        <v>64</v>
      </c>
      <c r="D58" s="455"/>
      <c r="E58" s="128"/>
      <c r="F58" s="129"/>
      <c r="G58" s="130"/>
      <c r="H58" s="456">
        <f>((((E12+(E12/3))*0.3333)/12)*2%)</f>
        <v>12.085294312666667</v>
      </c>
      <c r="I58" s="457"/>
      <c r="J58" s="453"/>
      <c r="K58" s="136"/>
    </row>
    <row r="59" spans="1:11" ht="42.75" customHeight="1" x14ac:dyDescent="0.25">
      <c r="A59" s="954" t="s">
        <v>7</v>
      </c>
      <c r="B59" s="955"/>
      <c r="C59" s="454" t="s">
        <v>65</v>
      </c>
      <c r="D59" s="455"/>
      <c r="E59" s="128"/>
      <c r="F59" s="129"/>
      <c r="G59" s="130"/>
      <c r="H59" s="456">
        <f>H58*39.8%</f>
        <v>4.8099471364413331</v>
      </c>
      <c r="I59" s="457"/>
      <c r="J59" s="453"/>
      <c r="K59" s="136"/>
    </row>
    <row r="60" spans="1:11" ht="43.5" customHeight="1" x14ac:dyDescent="0.25">
      <c r="A60" s="954" t="s">
        <v>8</v>
      </c>
      <c r="B60" s="955"/>
      <c r="C60" s="454" t="s">
        <v>66</v>
      </c>
      <c r="D60" s="455"/>
      <c r="E60" s="322"/>
      <c r="F60" s="323"/>
      <c r="G60" s="324"/>
      <c r="H60" s="450">
        <f>(((E12+H17)*0.333)*2%)*39.8%</f>
        <v>46.853331387704671</v>
      </c>
      <c r="I60" s="450"/>
      <c r="J60" s="450"/>
      <c r="K60" s="136"/>
    </row>
    <row r="61" spans="1:11" x14ac:dyDescent="0.25">
      <c r="A61" s="956" t="s">
        <v>9</v>
      </c>
      <c r="B61" s="956"/>
      <c r="C61" s="482" t="s">
        <v>67</v>
      </c>
      <c r="D61" s="483"/>
      <c r="E61" s="497"/>
      <c r="F61" s="497"/>
      <c r="G61" s="497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63.74857283681267</v>
      </c>
      <c r="I62" s="592"/>
      <c r="J62" s="592"/>
      <c r="K62" s="136"/>
    </row>
    <row r="63" spans="1:11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1" ht="29.25" customHeight="1" x14ac:dyDescent="0.25">
      <c r="A64" s="954" t="s">
        <v>2</v>
      </c>
      <c r="B64" s="955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36"/>
    </row>
    <row r="65" spans="1:11" ht="28.5" customHeight="1" x14ac:dyDescent="0.25">
      <c r="A65" s="954" t="s">
        <v>7</v>
      </c>
      <c r="B65" s="955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1" ht="15.75" thickBot="1" x14ac:dyDescent="0.3">
      <c r="A67" s="1045" t="s">
        <v>71</v>
      </c>
      <c r="B67" s="1046"/>
      <c r="C67" s="1046"/>
      <c r="D67" s="1047"/>
      <c r="E67" s="1051">
        <f>H66+H62+H56</f>
        <v>334.63354719525472</v>
      </c>
      <c r="F67" s="1052"/>
      <c r="G67" s="1052"/>
      <c r="H67" s="1052"/>
      <c r="I67" s="1052"/>
      <c r="J67" s="1053"/>
      <c r="K67" s="136"/>
    </row>
    <row r="68" spans="1:11" ht="10.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36"/>
    </row>
    <row r="69" spans="1:11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1" x14ac:dyDescent="0.25">
      <c r="A70" s="954" t="s">
        <v>2</v>
      </c>
      <c r="B70" s="955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36"/>
    </row>
    <row r="71" spans="1:11" x14ac:dyDescent="0.25">
      <c r="A71" s="954" t="s">
        <v>7</v>
      </c>
      <c r="B71" s="955"/>
      <c r="C71" s="452" t="s">
        <v>75</v>
      </c>
      <c r="D71" s="453"/>
      <c r="E71" s="128"/>
      <c r="F71" s="129"/>
      <c r="G71" s="130"/>
      <c r="H71" s="456">
        <v>5.56</v>
      </c>
      <c r="I71" s="457"/>
      <c r="J71" s="453"/>
      <c r="K71" s="136"/>
    </row>
    <row r="72" spans="1:11" x14ac:dyDescent="0.25">
      <c r="A72" s="954" t="s">
        <v>8</v>
      </c>
      <c r="B72" s="955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957" t="s">
        <v>9</v>
      </c>
      <c r="B73" s="957"/>
      <c r="C73" s="473" t="s">
        <v>28</v>
      </c>
      <c r="D73" s="474"/>
      <c r="E73" s="842"/>
      <c r="F73" s="842"/>
      <c r="G73" s="842"/>
      <c r="H73" s="449">
        <f>E31/30/12*15*8%</f>
        <v>0</v>
      </c>
      <c r="I73" s="449"/>
      <c r="J73" s="449"/>
      <c r="K73" s="136"/>
    </row>
    <row r="74" spans="1:11" ht="15.75" thickBot="1" x14ac:dyDescent="0.3">
      <c r="A74" s="719" t="s">
        <v>336</v>
      </c>
      <c r="B74" s="720"/>
      <c r="C74" s="720"/>
      <c r="D74" s="720"/>
      <c r="E74" s="720"/>
      <c r="F74" s="720"/>
      <c r="G74" s="721"/>
      <c r="H74" s="1048">
        <f>SUM(H70:J73)</f>
        <v>248.31</v>
      </c>
      <c r="I74" s="1049"/>
      <c r="J74" s="1050"/>
      <c r="K74" s="136"/>
    </row>
    <row r="75" spans="1:11" ht="9.75" customHeight="1" thickBot="1" x14ac:dyDescent="0.3">
      <c r="E75" s="131"/>
      <c r="F75" s="131"/>
      <c r="G75" s="131"/>
      <c r="K75" s="136"/>
    </row>
    <row r="76" spans="1:11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1" x14ac:dyDescent="0.25">
      <c r="A77" s="954" t="s">
        <v>2</v>
      </c>
      <c r="B77" s="955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2061.1821070657734</v>
      </c>
      <c r="I77" s="457"/>
      <c r="J77" s="453"/>
      <c r="K77" s="136"/>
    </row>
    <row r="78" spans="1:11" x14ac:dyDescent="0.25">
      <c r="A78" s="954" t="s">
        <v>7</v>
      </c>
      <c r="B78" s="955"/>
      <c r="C78" s="452" t="s">
        <v>12</v>
      </c>
      <c r="D78" s="453"/>
      <c r="E78" s="843">
        <v>7.5775276633744088E-2</v>
      </c>
      <c r="F78" s="840"/>
      <c r="G78" s="841"/>
      <c r="H78" s="456">
        <f>E78*(H74+E67+H46+E37+E12)</f>
        <v>2231.2377765061783</v>
      </c>
      <c r="I78" s="457"/>
      <c r="J78" s="453"/>
      <c r="K78" s="136"/>
    </row>
    <row r="79" spans="1:11" ht="15" customHeight="1" x14ac:dyDescent="0.25">
      <c r="A79" s="954" t="s">
        <v>8</v>
      </c>
      <c r="B79" s="955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34338.727314715085</v>
      </c>
      <c r="I79" s="450"/>
      <c r="J79" s="450"/>
      <c r="K79" s="136"/>
    </row>
    <row r="80" spans="1:11" ht="15" customHeight="1" x14ac:dyDescent="0.25">
      <c r="A80" s="956" t="s">
        <v>9</v>
      </c>
      <c r="B80" s="956"/>
      <c r="C80" s="482" t="s">
        <v>79</v>
      </c>
      <c r="D80" s="483"/>
      <c r="E80" s="497">
        <v>1.6500000000000001E-2</v>
      </c>
      <c r="F80" s="497"/>
      <c r="G80" s="497"/>
      <c r="H80" s="450">
        <f>E80*J88</f>
        <v>53.111850000000004</v>
      </c>
      <c r="I80" s="450"/>
      <c r="J80" s="450"/>
      <c r="K80" s="136"/>
    </row>
    <row r="81" spans="1:11" ht="15" customHeight="1" x14ac:dyDescent="0.25">
      <c r="A81" s="956" t="s">
        <v>9</v>
      </c>
      <c r="B81" s="956"/>
      <c r="C81" s="482" t="s">
        <v>80</v>
      </c>
      <c r="D81" s="483"/>
      <c r="E81" s="497">
        <v>7.5999999999999998E-2</v>
      </c>
      <c r="F81" s="497"/>
      <c r="G81" s="497"/>
      <c r="H81" s="450">
        <f>E81*J88</f>
        <v>244.63640000000001</v>
      </c>
      <c r="I81" s="450"/>
      <c r="J81" s="450"/>
      <c r="K81" s="136"/>
    </row>
    <row r="82" spans="1:11" x14ac:dyDescent="0.25">
      <c r="A82" s="956" t="s">
        <v>10</v>
      </c>
      <c r="B82" s="956"/>
      <c r="C82" s="482" t="s">
        <v>81</v>
      </c>
      <c r="D82" s="483"/>
      <c r="E82" s="497"/>
      <c r="F82" s="497"/>
      <c r="G82" s="497"/>
      <c r="H82" s="450"/>
      <c r="I82" s="450"/>
      <c r="J82" s="450"/>
      <c r="K82" s="136"/>
    </row>
    <row r="83" spans="1:11" ht="15.75" thickBot="1" x14ac:dyDescent="0.3">
      <c r="A83" s="957" t="s">
        <v>11</v>
      </c>
      <c r="B83" s="957"/>
      <c r="C83" s="473" t="s">
        <v>110</v>
      </c>
      <c r="D83" s="474"/>
      <c r="E83" s="842">
        <v>0.05</v>
      </c>
      <c r="F83" s="842"/>
      <c r="G83" s="842"/>
      <c r="H83" s="449">
        <f>E83*J88</f>
        <v>160.94500000000002</v>
      </c>
      <c r="I83" s="449"/>
      <c r="J83" s="449"/>
      <c r="K83" s="136"/>
    </row>
    <row r="84" spans="1:11" ht="15.75" thickBot="1" x14ac:dyDescent="0.3">
      <c r="A84" s="719" t="s">
        <v>340</v>
      </c>
      <c r="B84" s="720"/>
      <c r="C84" s="720"/>
      <c r="D84" s="720"/>
      <c r="E84" s="720"/>
      <c r="F84" s="720"/>
      <c r="G84" s="721"/>
      <c r="H84" s="1048">
        <f>H77+H78+H80+H81+H83</f>
        <v>4751.1131335719519</v>
      </c>
      <c r="I84" s="1049"/>
      <c r="J84" s="1050"/>
      <c r="K84" s="136"/>
    </row>
    <row r="85" spans="1:11" ht="11.25" customHeight="1" thickBot="1" x14ac:dyDescent="0.3">
      <c r="E85" s="131"/>
      <c r="F85" s="131"/>
      <c r="G85" s="131"/>
      <c r="K85" s="136"/>
    </row>
    <row r="86" spans="1:11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1037">
        <f>SUM(H84+H74+E67+H46+E37+E12)</f>
        <v>34196.571805940141</v>
      </c>
      <c r="I86" s="1038"/>
      <c r="J86" s="1039"/>
    </row>
    <row r="88" spans="1:11" x14ac:dyDescent="0.25">
      <c r="J88" s="174">
        <v>3218.9</v>
      </c>
    </row>
    <row r="89" spans="1:11" ht="15.75" thickBot="1" x14ac:dyDescent="0.3">
      <c r="D89" s="175"/>
    </row>
  </sheetData>
  <mergeCells count="230"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12:D12"/>
    <mergeCell ref="E12:J12"/>
    <mergeCell ref="A13:D13"/>
    <mergeCell ref="E13:J13"/>
    <mergeCell ref="A14:J14"/>
    <mergeCell ref="A15:J15"/>
    <mergeCell ref="B9:D9"/>
    <mergeCell ref="E9:J9"/>
    <mergeCell ref="B10:D10"/>
    <mergeCell ref="E10:J10"/>
    <mergeCell ref="B11:D11"/>
    <mergeCell ref="E11:J11"/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/>
  </sheetPr>
  <dimension ref="A1:L89"/>
  <sheetViews>
    <sheetView topLeftCell="A64" workbookViewId="0">
      <selection activeCell="L76" sqref="L76"/>
    </sheetView>
  </sheetViews>
  <sheetFormatPr defaultRowHeight="15" x14ac:dyDescent="0.25"/>
  <cols>
    <col min="1" max="1" width="6.7109375" style="134" customWidth="1"/>
    <col min="2" max="2" width="3.42578125" style="134" customWidth="1"/>
    <col min="3" max="3" width="13.85546875" style="134" customWidth="1"/>
    <col min="4" max="4" width="33.7109375" style="134" customWidth="1"/>
    <col min="5" max="5" width="3.140625" style="116" customWidth="1"/>
    <col min="6" max="6" width="2" style="116" customWidth="1"/>
    <col min="7" max="7" width="4" style="116" customWidth="1"/>
    <col min="8" max="8" width="4.140625" style="161" customWidth="1"/>
    <col min="9" max="9" width="3.7109375" style="161" hidden="1" customWidth="1"/>
    <col min="10" max="10" width="13.140625" style="161" customWidth="1"/>
    <col min="11" max="16384" width="9.140625" style="134"/>
  </cols>
  <sheetData>
    <row r="1" spans="1:12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2" ht="20.25" customHeight="1" thickBot="1" x14ac:dyDescent="0.3">
      <c r="A2" s="554" t="s">
        <v>0</v>
      </c>
      <c r="B2" s="555"/>
      <c r="C2" s="556"/>
      <c r="D2" s="737" t="s">
        <v>414</v>
      </c>
      <c r="E2" s="738"/>
      <c r="F2" s="738"/>
      <c r="G2" s="738"/>
      <c r="H2" s="738"/>
      <c r="I2" s="738"/>
      <c r="J2" s="739"/>
      <c r="K2" s="136"/>
    </row>
    <row r="3" spans="1:12" ht="9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2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2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2" x14ac:dyDescent="0.25">
      <c r="A6" s="21" t="s">
        <v>2</v>
      </c>
      <c r="B6" s="606" t="s">
        <v>1</v>
      </c>
      <c r="C6" s="607"/>
      <c r="D6" s="608"/>
      <c r="E6" s="1009">
        <v>13429.67</v>
      </c>
      <c r="F6" s="1009"/>
      <c r="G6" s="1009"/>
      <c r="H6" s="1009"/>
      <c r="I6" s="1009"/>
      <c r="J6" s="1009"/>
      <c r="K6" s="136"/>
    </row>
    <row r="7" spans="1:12" x14ac:dyDescent="0.25">
      <c r="A7" s="21" t="s">
        <v>7</v>
      </c>
      <c r="B7" s="606" t="s">
        <v>25</v>
      </c>
      <c r="C7" s="607"/>
      <c r="D7" s="608"/>
      <c r="E7" s="1011"/>
      <c r="F7" s="1012"/>
      <c r="G7" s="1012"/>
      <c r="H7" s="1012"/>
      <c r="I7" s="1012"/>
      <c r="J7" s="1013"/>
      <c r="K7" s="136"/>
    </row>
    <row r="8" spans="1:12" x14ac:dyDescent="0.25">
      <c r="A8" s="21" t="s">
        <v>8</v>
      </c>
      <c r="B8" s="606" t="s">
        <v>26</v>
      </c>
      <c r="C8" s="607"/>
      <c r="D8" s="608"/>
      <c r="E8" s="1011"/>
      <c r="F8" s="1012"/>
      <c r="G8" s="1012"/>
      <c r="H8" s="1012"/>
      <c r="I8" s="1012"/>
      <c r="J8" s="1013"/>
      <c r="K8" s="136"/>
    </row>
    <row r="9" spans="1:12" x14ac:dyDescent="0.25">
      <c r="A9" s="21" t="s">
        <v>9</v>
      </c>
      <c r="B9" s="606" t="s">
        <v>27</v>
      </c>
      <c r="C9" s="607"/>
      <c r="D9" s="608"/>
      <c r="E9" s="1011"/>
      <c r="F9" s="1012"/>
      <c r="G9" s="1012"/>
      <c r="H9" s="1012"/>
      <c r="I9" s="1012"/>
      <c r="J9" s="1013"/>
      <c r="K9" s="136"/>
    </row>
    <row r="10" spans="1:12" x14ac:dyDescent="0.25">
      <c r="A10" s="21" t="s">
        <v>10</v>
      </c>
      <c r="B10" s="606" t="s">
        <v>28</v>
      </c>
      <c r="C10" s="607"/>
      <c r="D10" s="608"/>
      <c r="E10" s="1009">
        <f>E6*30%</f>
        <v>4028.9009999999998</v>
      </c>
      <c r="F10" s="1009"/>
      <c r="G10" s="1009"/>
      <c r="H10" s="1009"/>
      <c r="I10" s="1009"/>
      <c r="J10" s="1009"/>
      <c r="K10" s="136"/>
    </row>
    <row r="11" spans="1:12" ht="29.25" customHeight="1" thickBot="1" x14ac:dyDescent="0.3">
      <c r="A11" s="120" t="s">
        <v>11</v>
      </c>
      <c r="B11" s="609" t="s">
        <v>92</v>
      </c>
      <c r="C11" s="610"/>
      <c r="D11" s="611"/>
      <c r="E11" s="1010">
        <f>1045*40%</f>
        <v>418</v>
      </c>
      <c r="F11" s="1010"/>
      <c r="G11" s="1010"/>
      <c r="H11" s="1010"/>
      <c r="I11" s="1010"/>
      <c r="J11" s="1010"/>
      <c r="K11" s="136"/>
    </row>
    <row r="12" spans="1:12" ht="15.75" thickBot="1" x14ac:dyDescent="0.3">
      <c r="A12" s="458" t="s">
        <v>330</v>
      </c>
      <c r="B12" s="459"/>
      <c r="C12" s="459"/>
      <c r="D12" s="460"/>
      <c r="E12" s="547">
        <f>SUM(E6:J11)</f>
        <v>17876.571</v>
      </c>
      <c r="F12" s="485"/>
      <c r="G12" s="485"/>
      <c r="H12" s="485"/>
      <c r="I12" s="485"/>
      <c r="J12" s="486"/>
      <c r="K12" s="136"/>
    </row>
    <row r="13" spans="1:12" ht="27" customHeight="1" x14ac:dyDescent="0.25">
      <c r="A13" s="551" t="s">
        <v>29</v>
      </c>
      <c r="B13" s="552"/>
      <c r="C13" s="552"/>
      <c r="D13" s="553"/>
      <c r="E13" s="548">
        <f>E12*E30</f>
        <v>6578.578128000001</v>
      </c>
      <c r="F13" s="549"/>
      <c r="G13" s="549"/>
      <c r="H13" s="549"/>
      <c r="I13" s="549"/>
      <c r="J13" s="550"/>
      <c r="K13" s="136"/>
    </row>
    <row r="14" spans="1:12" ht="11.2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2" ht="27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2" ht="30" customHeight="1" thickBot="1" x14ac:dyDescent="0.3">
      <c r="A16" s="507" t="s">
        <v>339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1" x14ac:dyDescent="0.25">
      <c r="A17" s="21" t="s">
        <v>2</v>
      </c>
      <c r="B17" s="482" t="s">
        <v>125</v>
      </c>
      <c r="C17" s="521"/>
      <c r="D17" s="483"/>
      <c r="E17" s="322">
        <v>8.3299999999999999E-2</v>
      </c>
      <c r="F17" s="323"/>
      <c r="G17" s="324"/>
      <c r="H17" s="450">
        <f>E17*E12</f>
        <v>1489.1183642999999</v>
      </c>
      <c r="I17" s="450"/>
      <c r="J17" s="450"/>
      <c r="K17" s="136"/>
    </row>
    <row r="18" spans="1:11" x14ac:dyDescent="0.25">
      <c r="A18" s="21" t="s">
        <v>7</v>
      </c>
      <c r="B18" s="482" t="s">
        <v>35</v>
      </c>
      <c r="C18" s="521"/>
      <c r="D18" s="483"/>
      <c r="E18" s="529">
        <v>0.121</v>
      </c>
      <c r="F18" s="530"/>
      <c r="G18" s="531"/>
      <c r="H18" s="450">
        <f>E18*E12</f>
        <v>2163.0650909999999</v>
      </c>
      <c r="I18" s="450"/>
      <c r="J18" s="450"/>
      <c r="K18" s="136"/>
    </row>
    <row r="19" spans="1:11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3652.1834552999999</v>
      </c>
      <c r="I19" s="525"/>
      <c r="J19" s="525"/>
      <c r="K19" s="136"/>
    </row>
    <row r="20" spans="1:11" ht="30" customHeight="1" thickBot="1" x14ac:dyDescent="0.3">
      <c r="A20" s="21" t="s">
        <v>8</v>
      </c>
      <c r="B20" s="284" t="s">
        <v>37</v>
      </c>
      <c r="C20" s="285"/>
      <c r="D20" s="286"/>
      <c r="E20" s="529">
        <v>7.8200000000000006E-2</v>
      </c>
      <c r="F20" s="530"/>
      <c r="G20" s="531"/>
      <c r="H20" s="290">
        <f>E12*E20</f>
        <v>1397.9478522000002</v>
      </c>
      <c r="I20" s="291"/>
      <c r="J20" s="292"/>
      <c r="K20" s="136"/>
    </row>
    <row r="21" spans="1:11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1" x14ac:dyDescent="0.25">
      <c r="A22" s="482" t="s">
        <v>2</v>
      </c>
      <c r="B22" s="483"/>
      <c r="C22" s="510" t="s">
        <v>3</v>
      </c>
      <c r="D22" s="511"/>
      <c r="E22" s="603">
        <v>0.2</v>
      </c>
      <c r="F22" s="603"/>
      <c r="G22" s="603"/>
      <c r="H22" s="450">
        <f>E22*(E12+H19)</f>
        <v>4305.75089106</v>
      </c>
      <c r="I22" s="450"/>
      <c r="J22" s="450"/>
      <c r="K22" s="136"/>
    </row>
    <row r="23" spans="1:11" x14ac:dyDescent="0.25">
      <c r="A23" s="482" t="s">
        <v>7</v>
      </c>
      <c r="B23" s="483"/>
      <c r="C23" s="482" t="s">
        <v>41</v>
      </c>
      <c r="D23" s="483"/>
      <c r="E23" s="497">
        <v>2.5000000000000001E-2</v>
      </c>
      <c r="F23" s="497"/>
      <c r="G23" s="497"/>
      <c r="H23" s="450">
        <f>E23*(E12+H19)</f>
        <v>538.21886138249999</v>
      </c>
      <c r="I23" s="450"/>
      <c r="J23" s="450"/>
      <c r="K23" s="136"/>
    </row>
    <row r="24" spans="1:11" x14ac:dyDescent="0.25">
      <c r="A24" s="482" t="s">
        <v>8</v>
      </c>
      <c r="B24" s="483"/>
      <c r="C24" s="512" t="s">
        <v>42</v>
      </c>
      <c r="D24" s="513"/>
      <c r="E24" s="514">
        <v>0.03</v>
      </c>
      <c r="F24" s="514"/>
      <c r="G24" s="514"/>
      <c r="H24" s="450">
        <f>E24*(E12+H19)</f>
        <v>645.86263365900004</v>
      </c>
      <c r="I24" s="450"/>
      <c r="J24" s="450"/>
      <c r="K24" s="136"/>
    </row>
    <row r="25" spans="1:11" x14ac:dyDescent="0.25">
      <c r="A25" s="482" t="s">
        <v>9</v>
      </c>
      <c r="B25" s="483"/>
      <c r="C25" s="482" t="s">
        <v>43</v>
      </c>
      <c r="D25" s="483"/>
      <c r="E25" s="497">
        <v>1.4999999999999999E-2</v>
      </c>
      <c r="F25" s="497"/>
      <c r="G25" s="497"/>
      <c r="H25" s="450">
        <f>E25*(E12+H19)</f>
        <v>322.93131682950002</v>
      </c>
      <c r="I25" s="450"/>
      <c r="J25" s="450"/>
      <c r="K25" s="136"/>
    </row>
    <row r="26" spans="1:11" x14ac:dyDescent="0.25">
      <c r="A26" s="482" t="s">
        <v>10</v>
      </c>
      <c r="B26" s="483"/>
      <c r="C26" s="482" t="s">
        <v>44</v>
      </c>
      <c r="D26" s="483"/>
      <c r="E26" s="497">
        <v>0.01</v>
      </c>
      <c r="F26" s="497"/>
      <c r="G26" s="497"/>
      <c r="H26" s="450">
        <f>E26*(E12+H19)</f>
        <v>215.287544553</v>
      </c>
      <c r="I26" s="450"/>
      <c r="J26" s="450"/>
      <c r="K26" s="136"/>
    </row>
    <row r="27" spans="1:11" x14ac:dyDescent="0.25">
      <c r="A27" s="482" t="s">
        <v>11</v>
      </c>
      <c r="B27" s="483"/>
      <c r="C27" s="482" t="s">
        <v>6</v>
      </c>
      <c r="D27" s="483"/>
      <c r="E27" s="497">
        <v>6.0000000000000001E-3</v>
      </c>
      <c r="F27" s="497"/>
      <c r="G27" s="497"/>
      <c r="H27" s="450">
        <f>E27*(E12+H19)</f>
        <v>129.17252673180002</v>
      </c>
      <c r="I27" s="450"/>
      <c r="J27" s="450"/>
      <c r="K27" s="136"/>
    </row>
    <row r="28" spans="1:11" x14ac:dyDescent="0.25">
      <c r="A28" s="482" t="s">
        <v>39</v>
      </c>
      <c r="B28" s="483"/>
      <c r="C28" s="482" t="s">
        <v>5</v>
      </c>
      <c r="D28" s="483"/>
      <c r="E28" s="497">
        <v>2E-3</v>
      </c>
      <c r="F28" s="497"/>
      <c r="G28" s="497"/>
      <c r="H28" s="450">
        <f>E28*(E12+H19)</f>
        <v>43.057508910599999</v>
      </c>
      <c r="I28" s="450"/>
      <c r="J28" s="450"/>
      <c r="K28" s="136"/>
    </row>
    <row r="29" spans="1:11" x14ac:dyDescent="0.25">
      <c r="A29" s="532" t="s">
        <v>40</v>
      </c>
      <c r="B29" s="533"/>
      <c r="C29" s="482" t="s">
        <v>4</v>
      </c>
      <c r="D29" s="521"/>
      <c r="E29" s="529">
        <v>0.08</v>
      </c>
      <c r="F29" s="530"/>
      <c r="G29" s="531"/>
      <c r="H29" s="450">
        <f>E29*(E12+H19)</f>
        <v>1722.300356424</v>
      </c>
      <c r="I29" s="450"/>
      <c r="J29" s="450"/>
      <c r="K29" s="136"/>
    </row>
    <row r="30" spans="1:11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7922.5816395503989</v>
      </c>
      <c r="I30" s="592"/>
      <c r="J30" s="592"/>
      <c r="K30" s="136"/>
    </row>
    <row r="31" spans="1:11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1" x14ac:dyDescent="0.25">
      <c r="A32" s="482" t="s">
        <v>2</v>
      </c>
      <c r="B32" s="483"/>
      <c r="C32" s="510" t="s">
        <v>46</v>
      </c>
      <c r="D32" s="511"/>
      <c r="E32" s="603"/>
      <c r="F32" s="603"/>
      <c r="G32" s="603"/>
      <c r="H32" s="450">
        <v>0</v>
      </c>
      <c r="I32" s="450"/>
      <c r="J32" s="450"/>
      <c r="K32" s="136"/>
    </row>
    <row r="33" spans="1:11" x14ac:dyDescent="0.25">
      <c r="A33" s="482" t="s">
        <v>7</v>
      </c>
      <c r="B33" s="483"/>
      <c r="C33" s="482" t="s">
        <v>279</v>
      </c>
      <c r="D33" s="483"/>
      <c r="E33" s="497"/>
      <c r="F33" s="497"/>
      <c r="G33" s="497"/>
      <c r="H33" s="450">
        <f>16.6*25.5-20%</f>
        <v>423.1</v>
      </c>
      <c r="I33" s="450"/>
      <c r="J33" s="450"/>
      <c r="K33" s="136"/>
    </row>
    <row r="34" spans="1:11" x14ac:dyDescent="0.25">
      <c r="A34" s="482" t="s">
        <v>8</v>
      </c>
      <c r="B34" s="483"/>
      <c r="C34" s="284" t="s">
        <v>49</v>
      </c>
      <c r="D34" s="286"/>
      <c r="E34" s="497"/>
      <c r="F34" s="497"/>
      <c r="G34" s="497"/>
      <c r="H34" s="450">
        <v>70</v>
      </c>
      <c r="I34" s="450"/>
      <c r="J34" s="450"/>
      <c r="K34" s="136"/>
    </row>
    <row r="35" spans="1:11" x14ac:dyDescent="0.25">
      <c r="A35" s="482" t="s">
        <v>9</v>
      </c>
      <c r="B35" s="483"/>
      <c r="C35" s="478" t="s">
        <v>149</v>
      </c>
      <c r="D35" s="479"/>
      <c r="E35" s="497"/>
      <c r="F35" s="497"/>
      <c r="G35" s="497"/>
      <c r="H35" s="450">
        <v>155</v>
      </c>
      <c r="I35" s="450"/>
      <c r="J35" s="450"/>
      <c r="K35" s="136"/>
    </row>
    <row r="36" spans="1:11" ht="15.75" thickBot="1" x14ac:dyDescent="0.3">
      <c r="A36" s="504" t="s">
        <v>38</v>
      </c>
      <c r="B36" s="505"/>
      <c r="C36" s="505"/>
      <c r="D36" s="505"/>
      <c r="E36" s="505"/>
      <c r="F36" s="505"/>
      <c r="G36" s="506"/>
      <c r="H36" s="451">
        <f>SUM(H32:J35)</f>
        <v>648.1</v>
      </c>
      <c r="I36" s="451"/>
      <c r="J36" s="451"/>
      <c r="K36" s="136"/>
    </row>
    <row r="37" spans="1:11" ht="15.75" thickBot="1" x14ac:dyDescent="0.3">
      <c r="A37" s="458" t="s">
        <v>72</v>
      </c>
      <c r="B37" s="459"/>
      <c r="C37" s="459"/>
      <c r="D37" s="460"/>
      <c r="E37" s="587">
        <f>H19+H30+H36</f>
        <v>12222.865094850398</v>
      </c>
      <c r="F37" s="498"/>
      <c r="G37" s="498"/>
      <c r="H37" s="498"/>
      <c r="I37" s="498"/>
      <c r="J37" s="499"/>
      <c r="K37" s="136"/>
    </row>
    <row r="38" spans="1:11" ht="12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</row>
    <row r="39" spans="1:11" ht="27.75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1" x14ac:dyDescent="0.25">
      <c r="A40" s="452" t="s">
        <v>2</v>
      </c>
      <c r="B40" s="453"/>
      <c r="C40" s="452" t="s">
        <v>51</v>
      </c>
      <c r="D40" s="453"/>
      <c r="E40" s="128"/>
      <c r="F40" s="129"/>
      <c r="G40" s="130"/>
      <c r="H40" s="456">
        <f>E12/12*5%</f>
        <v>74.485712500000005</v>
      </c>
      <c r="I40" s="457"/>
      <c r="J40" s="453"/>
      <c r="K40" s="136"/>
    </row>
    <row r="41" spans="1:11" x14ac:dyDescent="0.25">
      <c r="A41" s="452" t="s">
        <v>7</v>
      </c>
      <c r="B41" s="453"/>
      <c r="C41" s="452" t="s">
        <v>52</v>
      </c>
      <c r="D41" s="453"/>
      <c r="E41" s="128"/>
      <c r="F41" s="129"/>
      <c r="G41" s="130"/>
      <c r="H41" s="456">
        <f>H40*8%</f>
        <v>5.958857000000001</v>
      </c>
      <c r="I41" s="457"/>
      <c r="J41" s="453"/>
      <c r="K41" s="136"/>
    </row>
    <row r="42" spans="1:11" ht="30" customHeight="1" x14ac:dyDescent="0.25">
      <c r="A42" s="318" t="s">
        <v>8</v>
      </c>
      <c r="B42" s="319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481" t="s">
        <v>9</v>
      </c>
      <c r="B43" s="481"/>
      <c r="C43" s="482" t="s">
        <v>54</v>
      </c>
      <c r="D43" s="483"/>
      <c r="E43" s="497"/>
      <c r="F43" s="497"/>
      <c r="G43" s="497"/>
      <c r="H43" s="450">
        <f>E12/30/12*7*100%</f>
        <v>347.59999166666665</v>
      </c>
      <c r="I43" s="450"/>
      <c r="J43" s="450"/>
      <c r="K43" s="136"/>
    </row>
    <row r="44" spans="1:11" ht="30.75" customHeight="1" x14ac:dyDescent="0.25">
      <c r="A44" s="481" t="s">
        <v>10</v>
      </c>
      <c r="B44" s="481"/>
      <c r="C44" s="478" t="s">
        <v>93</v>
      </c>
      <c r="D44" s="479"/>
      <c r="E44" s="497"/>
      <c r="F44" s="497"/>
      <c r="G44" s="497"/>
      <c r="H44" s="450">
        <f>H43*39.8%</f>
        <v>138.34479668333333</v>
      </c>
      <c r="I44" s="450"/>
      <c r="J44" s="450"/>
      <c r="K44" s="136"/>
    </row>
    <row r="45" spans="1:11" ht="27.75" customHeight="1" thickBot="1" x14ac:dyDescent="0.3">
      <c r="A45" s="473" t="s">
        <v>11</v>
      </c>
      <c r="B45" s="474"/>
      <c r="C45" s="1054" t="s">
        <v>53</v>
      </c>
      <c r="D45" s="1055"/>
      <c r="E45" s="836"/>
      <c r="F45" s="837"/>
      <c r="G45" s="838"/>
      <c r="H45" s="470">
        <f>E12*5%</f>
        <v>893.82855000000006</v>
      </c>
      <c r="I45" s="471"/>
      <c r="J45" s="472"/>
      <c r="K45" s="136"/>
    </row>
    <row r="46" spans="1:11" ht="15.75" thickBot="1" x14ac:dyDescent="0.3">
      <c r="A46" s="570" t="s">
        <v>333</v>
      </c>
      <c r="B46" s="571"/>
      <c r="C46" s="571"/>
      <c r="D46" s="571"/>
      <c r="E46" s="571"/>
      <c r="F46" s="571"/>
      <c r="G46" s="572"/>
      <c r="H46" s="547">
        <f>SUM(H40:J45)</f>
        <v>1460.2179078500001</v>
      </c>
      <c r="I46" s="485"/>
      <c r="J46" s="486"/>
      <c r="K46" s="136"/>
    </row>
    <row r="47" spans="1:11" ht="9.75" customHeight="1" thickBot="1" x14ac:dyDescent="0.3">
      <c r="E47" s="131"/>
      <c r="F47" s="131"/>
      <c r="G47" s="131"/>
      <c r="K47" s="136"/>
    </row>
    <row r="48" spans="1:11" ht="32.25" customHeight="1" thickBot="1" x14ac:dyDescent="0.3">
      <c r="A48" s="494" t="s">
        <v>317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452" t="s">
        <v>2</v>
      </c>
      <c r="B49" s="453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36"/>
    </row>
    <row r="50" spans="1:11" x14ac:dyDescent="0.25">
      <c r="A50" s="452" t="s">
        <v>7</v>
      </c>
      <c r="B50" s="453"/>
      <c r="C50" s="452" t="s">
        <v>57</v>
      </c>
      <c r="D50" s="453"/>
      <c r="E50" s="128"/>
      <c r="F50" s="129"/>
      <c r="G50" s="130"/>
      <c r="H50" s="456">
        <f>E12/30/12</f>
        <v>49.657141666666668</v>
      </c>
      <c r="I50" s="457"/>
      <c r="J50" s="453"/>
      <c r="K50" s="136"/>
    </row>
    <row r="51" spans="1:11" x14ac:dyDescent="0.25">
      <c r="A51" s="318" t="s">
        <v>8</v>
      </c>
      <c r="B51" s="319"/>
      <c r="C51" s="320" t="s">
        <v>58</v>
      </c>
      <c r="D51" s="321"/>
      <c r="E51" s="322"/>
      <c r="F51" s="323"/>
      <c r="G51" s="324"/>
      <c r="H51" s="450">
        <f>E12/30/12*5*1.5%</f>
        <v>3.7242856249999998</v>
      </c>
      <c r="I51" s="450"/>
      <c r="J51" s="450"/>
      <c r="K51" s="136"/>
    </row>
    <row r="52" spans="1:11" ht="27" customHeight="1" x14ac:dyDescent="0.25">
      <c r="A52" s="481" t="s">
        <v>9</v>
      </c>
      <c r="B52" s="481"/>
      <c r="C52" s="284" t="s">
        <v>59</v>
      </c>
      <c r="D52" s="286"/>
      <c r="E52" s="497"/>
      <c r="F52" s="497"/>
      <c r="G52" s="497"/>
      <c r="H52" s="450">
        <f>E12/30/12*15*8%</f>
        <v>59.588570000000004</v>
      </c>
      <c r="I52" s="450"/>
      <c r="J52" s="450"/>
      <c r="K52" s="136"/>
    </row>
    <row r="53" spans="1:11" x14ac:dyDescent="0.25">
      <c r="A53" s="481" t="s">
        <v>10</v>
      </c>
      <c r="B53" s="481"/>
      <c r="C53" s="478" t="s">
        <v>60</v>
      </c>
      <c r="D53" s="479"/>
      <c r="E53" s="497"/>
      <c r="F53" s="497"/>
      <c r="G53" s="497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481" t="s">
        <v>11</v>
      </c>
      <c r="B54" s="481"/>
      <c r="C54" s="478" t="s">
        <v>61</v>
      </c>
      <c r="D54" s="479"/>
      <c r="E54" s="497"/>
      <c r="F54" s="497"/>
      <c r="G54" s="497"/>
      <c r="H54" s="450">
        <f>E12/30/12*5*40%</f>
        <v>99.314283333333336</v>
      </c>
      <c r="I54" s="450"/>
      <c r="J54" s="450"/>
      <c r="K54" s="136"/>
    </row>
    <row r="55" spans="1:11" ht="28.5" customHeight="1" x14ac:dyDescent="0.25">
      <c r="A55" s="481" t="s">
        <v>39</v>
      </c>
      <c r="B55" s="481"/>
      <c r="C55" s="478" t="s">
        <v>62</v>
      </c>
      <c r="D55" s="479"/>
      <c r="E55" s="497"/>
      <c r="F55" s="497"/>
      <c r="G55" s="497"/>
      <c r="H55" s="450">
        <f>SUM(H49:J54)*39.8%</f>
        <v>84.490829550416663</v>
      </c>
      <c r="I55" s="450"/>
      <c r="J55" s="450"/>
      <c r="K55" s="136"/>
    </row>
    <row r="56" spans="1:11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296.77934600875</v>
      </c>
      <c r="I56" s="592"/>
      <c r="J56" s="592"/>
      <c r="K56" s="136"/>
    </row>
    <row r="57" spans="1:11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1" ht="27.75" customHeight="1" x14ac:dyDescent="0.25">
      <c r="A58" s="452" t="s">
        <v>2</v>
      </c>
      <c r="B58" s="453"/>
      <c r="C58" s="454" t="s">
        <v>64</v>
      </c>
      <c r="D58" s="455"/>
      <c r="E58" s="128"/>
      <c r="F58" s="129"/>
      <c r="G58" s="130"/>
      <c r="H58" s="456">
        <f>((((E12+(E12/3))*0.3333)/12)*2%)</f>
        <v>13.240580253999999</v>
      </c>
      <c r="I58" s="457"/>
      <c r="J58" s="453"/>
      <c r="K58" s="136"/>
    </row>
    <row r="59" spans="1:11" ht="43.5" customHeight="1" x14ac:dyDescent="0.25">
      <c r="A59" s="452" t="s">
        <v>7</v>
      </c>
      <c r="B59" s="453"/>
      <c r="C59" s="454" t="s">
        <v>65</v>
      </c>
      <c r="D59" s="455"/>
      <c r="E59" s="128"/>
      <c r="F59" s="129"/>
      <c r="G59" s="130"/>
      <c r="H59" s="456">
        <f>H58*39.8%</f>
        <v>5.2697509410919992</v>
      </c>
      <c r="I59" s="457"/>
      <c r="J59" s="453"/>
      <c r="K59" s="136"/>
    </row>
    <row r="60" spans="1:11" ht="43.5" customHeight="1" x14ac:dyDescent="0.25">
      <c r="A60" s="318" t="s">
        <v>8</v>
      </c>
      <c r="B60" s="319"/>
      <c r="C60" s="454" t="s">
        <v>66</v>
      </c>
      <c r="D60" s="455"/>
      <c r="E60" s="322"/>
      <c r="F60" s="323"/>
      <c r="G60" s="324"/>
      <c r="H60" s="450">
        <f>(((E12+H17)*0.333)*2%)*39.8%</f>
        <v>51.332245484162726</v>
      </c>
      <c r="I60" s="450"/>
      <c r="J60" s="450"/>
      <c r="K60" s="136"/>
    </row>
    <row r="61" spans="1:11" x14ac:dyDescent="0.25">
      <c r="A61" s="481" t="s">
        <v>9</v>
      </c>
      <c r="B61" s="481"/>
      <c r="C61" s="482" t="s">
        <v>67</v>
      </c>
      <c r="D61" s="483"/>
      <c r="E61" s="497"/>
      <c r="F61" s="497"/>
      <c r="G61" s="497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69.842576679254734</v>
      </c>
      <c r="I62" s="592"/>
      <c r="J62" s="592"/>
      <c r="K62" s="136"/>
    </row>
    <row r="63" spans="1:11" ht="15.75" thickBot="1" x14ac:dyDescent="0.3">
      <c r="A63" s="507" t="s">
        <v>126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1" ht="27.75" customHeight="1" x14ac:dyDescent="0.25">
      <c r="A64" s="452" t="s">
        <v>2</v>
      </c>
      <c r="B64" s="453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36"/>
    </row>
    <row r="65" spans="1:11" ht="28.5" customHeight="1" x14ac:dyDescent="0.25">
      <c r="A65" s="452" t="s">
        <v>7</v>
      </c>
      <c r="B65" s="453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36"/>
    </row>
    <row r="66" spans="1:11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1" ht="15.75" thickBot="1" x14ac:dyDescent="0.3">
      <c r="A67" s="458" t="s">
        <v>71</v>
      </c>
      <c r="B67" s="459"/>
      <c r="C67" s="459"/>
      <c r="D67" s="460"/>
      <c r="E67" s="587">
        <f>H66+H62+H56</f>
        <v>366.62204797769675</v>
      </c>
      <c r="F67" s="498"/>
      <c r="G67" s="498"/>
      <c r="H67" s="498"/>
      <c r="I67" s="498"/>
      <c r="J67" s="499"/>
      <c r="K67" s="136"/>
    </row>
    <row r="68" spans="1:11" ht="9.7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36"/>
    </row>
    <row r="69" spans="1:11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1" x14ac:dyDescent="0.25">
      <c r="A70" s="452" t="s">
        <v>2</v>
      </c>
      <c r="B70" s="453"/>
      <c r="C70" s="452" t="s">
        <v>74</v>
      </c>
      <c r="D70" s="453"/>
      <c r="E70" s="839"/>
      <c r="F70" s="840"/>
      <c r="G70" s="841"/>
      <c r="H70" s="456">
        <v>200</v>
      </c>
      <c r="I70" s="457"/>
      <c r="J70" s="453"/>
      <c r="K70" s="136"/>
    </row>
    <row r="71" spans="1:11" x14ac:dyDescent="0.25">
      <c r="A71" s="452" t="s">
        <v>7</v>
      </c>
      <c r="B71" s="453"/>
      <c r="C71" s="452" t="s">
        <v>75</v>
      </c>
      <c r="D71" s="453"/>
      <c r="E71" s="128"/>
      <c r="F71" s="129"/>
      <c r="G71" s="130"/>
      <c r="H71" s="456">
        <v>5.56</v>
      </c>
      <c r="I71" s="457"/>
      <c r="J71" s="453"/>
      <c r="K71" s="136"/>
    </row>
    <row r="72" spans="1:11" x14ac:dyDescent="0.25">
      <c r="A72" s="318" t="s">
        <v>8</v>
      </c>
      <c r="B72" s="319"/>
      <c r="C72" s="320" t="s">
        <v>76</v>
      </c>
      <c r="D72" s="321"/>
      <c r="E72" s="322"/>
      <c r="F72" s="323"/>
      <c r="G72" s="324"/>
      <c r="H72" s="450">
        <v>42.75</v>
      </c>
      <c r="I72" s="450"/>
      <c r="J72" s="450"/>
      <c r="K72" s="136"/>
    </row>
    <row r="73" spans="1:11" ht="15.75" thickBot="1" x14ac:dyDescent="0.3">
      <c r="A73" s="477" t="s">
        <v>9</v>
      </c>
      <c r="B73" s="477"/>
      <c r="C73" s="473" t="s">
        <v>28</v>
      </c>
      <c r="D73" s="474"/>
      <c r="E73" s="842"/>
      <c r="F73" s="842"/>
      <c r="G73" s="842"/>
      <c r="H73" s="449">
        <f>E31/30/12*15*8%</f>
        <v>0</v>
      </c>
      <c r="I73" s="449"/>
      <c r="J73" s="449"/>
      <c r="K73" s="136"/>
    </row>
    <row r="74" spans="1:11" ht="15.75" thickBot="1" x14ac:dyDescent="0.3">
      <c r="A74" s="570" t="s">
        <v>320</v>
      </c>
      <c r="B74" s="571"/>
      <c r="C74" s="571"/>
      <c r="D74" s="571"/>
      <c r="E74" s="571"/>
      <c r="F74" s="571"/>
      <c r="G74" s="572"/>
      <c r="H74" s="547">
        <f>SUM(H70:J73)</f>
        <v>248.31</v>
      </c>
      <c r="I74" s="485"/>
      <c r="J74" s="486"/>
      <c r="K74" s="136"/>
    </row>
    <row r="75" spans="1:11" ht="9.75" customHeight="1" thickBot="1" x14ac:dyDescent="0.3">
      <c r="E75" s="131"/>
      <c r="F75" s="131"/>
      <c r="G75" s="131"/>
      <c r="K75" s="136"/>
    </row>
    <row r="76" spans="1:11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1" x14ac:dyDescent="0.25">
      <c r="A77" s="452" t="s">
        <v>2</v>
      </c>
      <c r="B77" s="453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2252.2210235474668</v>
      </c>
      <c r="I77" s="457"/>
      <c r="J77" s="453"/>
      <c r="K77" s="136"/>
    </row>
    <row r="78" spans="1:11" x14ac:dyDescent="0.25">
      <c r="A78" s="452" t="s">
        <v>7</v>
      </c>
      <c r="B78" s="453"/>
      <c r="C78" s="452" t="s">
        <v>12</v>
      </c>
      <c r="D78" s="453"/>
      <c r="E78" s="843">
        <v>7.5775276633744088E-2</v>
      </c>
      <c r="F78" s="840"/>
      <c r="G78" s="841"/>
      <c r="H78" s="456">
        <f>E78*(H74+E67+H46+E37+E12)</f>
        <v>2438.0381585663363</v>
      </c>
      <c r="I78" s="457"/>
      <c r="J78" s="453"/>
      <c r="K78" s="136"/>
    </row>
    <row r="79" spans="1:11" ht="15" customHeight="1" x14ac:dyDescent="0.25">
      <c r="A79" s="318" t="s">
        <v>8</v>
      </c>
      <c r="B79" s="319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37521.383149478825</v>
      </c>
      <c r="I79" s="450"/>
      <c r="J79" s="450"/>
      <c r="K79" s="136"/>
    </row>
    <row r="80" spans="1:11" ht="15" customHeight="1" x14ac:dyDescent="0.25">
      <c r="A80" s="481" t="s">
        <v>9</v>
      </c>
      <c r="B80" s="481"/>
      <c r="C80" s="482" t="s">
        <v>79</v>
      </c>
      <c r="D80" s="483"/>
      <c r="E80" s="497">
        <v>1.6500000000000001E-2</v>
      </c>
      <c r="F80" s="497"/>
      <c r="G80" s="497"/>
      <c r="H80" s="450">
        <f>E80*J88</f>
        <v>53.111850000000004</v>
      </c>
      <c r="I80" s="450"/>
      <c r="J80" s="450"/>
      <c r="K80" s="136"/>
    </row>
    <row r="81" spans="1:11" ht="15" customHeight="1" x14ac:dyDescent="0.25">
      <c r="A81" s="481" t="s">
        <v>9</v>
      </c>
      <c r="B81" s="481"/>
      <c r="C81" s="482" t="s">
        <v>80</v>
      </c>
      <c r="D81" s="483"/>
      <c r="E81" s="497">
        <v>7.5999999999999998E-2</v>
      </c>
      <c r="F81" s="497"/>
      <c r="G81" s="497"/>
      <c r="H81" s="450">
        <f>E81*J88</f>
        <v>244.63640000000001</v>
      </c>
      <c r="I81" s="450"/>
      <c r="J81" s="450"/>
      <c r="K81" s="136"/>
    </row>
    <row r="82" spans="1:11" x14ac:dyDescent="0.25">
      <c r="A82" s="481" t="s">
        <v>10</v>
      </c>
      <c r="B82" s="481"/>
      <c r="C82" s="482" t="s">
        <v>81</v>
      </c>
      <c r="D82" s="483"/>
      <c r="E82" s="497"/>
      <c r="F82" s="497"/>
      <c r="G82" s="497"/>
      <c r="H82" s="450"/>
      <c r="I82" s="450"/>
      <c r="J82" s="450"/>
      <c r="K82" s="136"/>
    </row>
    <row r="83" spans="1:11" ht="15.75" thickBot="1" x14ac:dyDescent="0.3">
      <c r="A83" s="477" t="s">
        <v>11</v>
      </c>
      <c r="B83" s="477"/>
      <c r="C83" s="473" t="s">
        <v>110</v>
      </c>
      <c r="D83" s="474"/>
      <c r="E83" s="842">
        <v>0.05</v>
      </c>
      <c r="F83" s="842"/>
      <c r="G83" s="842"/>
      <c r="H83" s="449">
        <f>E83*J88</f>
        <v>160.94500000000002</v>
      </c>
      <c r="I83" s="449"/>
      <c r="J83" s="449"/>
      <c r="K83" s="136"/>
    </row>
    <row r="84" spans="1:11" ht="15.75" thickBot="1" x14ac:dyDescent="0.3">
      <c r="A84" s="570" t="s">
        <v>321</v>
      </c>
      <c r="B84" s="571"/>
      <c r="C84" s="571"/>
      <c r="D84" s="571"/>
      <c r="E84" s="571"/>
      <c r="F84" s="571"/>
      <c r="G84" s="572"/>
      <c r="H84" s="547">
        <f>H77+H78+H80+H81+H83</f>
        <v>5148.9524321138033</v>
      </c>
      <c r="I84" s="485"/>
      <c r="J84" s="486"/>
      <c r="K84" s="136"/>
    </row>
    <row r="85" spans="1:11" ht="11.25" customHeight="1" thickBot="1" x14ac:dyDescent="0.3">
      <c r="E85" s="131"/>
      <c r="F85" s="131"/>
      <c r="G85" s="131"/>
      <c r="K85" s="136"/>
    </row>
    <row r="86" spans="1:11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1037">
        <f>SUM(H84+H74+E67+H46+E37+E12)</f>
        <v>37323.538482791904</v>
      </c>
      <c r="I86" s="1038"/>
      <c r="J86" s="1039"/>
    </row>
    <row r="88" spans="1:11" x14ac:dyDescent="0.25">
      <c r="J88" s="174">
        <v>3218.9</v>
      </c>
    </row>
    <row r="89" spans="1:11" ht="15.75" thickBot="1" x14ac:dyDescent="0.3">
      <c r="D89" s="175"/>
    </row>
  </sheetData>
  <mergeCells count="230"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12:D12"/>
    <mergeCell ref="E12:J12"/>
    <mergeCell ref="A13:D13"/>
    <mergeCell ref="E13:J13"/>
    <mergeCell ref="A14:J14"/>
    <mergeCell ref="A15:J15"/>
    <mergeCell ref="B9:D9"/>
    <mergeCell ref="E9:J9"/>
    <mergeCell ref="B10:D10"/>
    <mergeCell ref="E10:J10"/>
    <mergeCell ref="B11:D11"/>
    <mergeCell ref="E11:J11"/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N89"/>
  <sheetViews>
    <sheetView workbookViewId="0">
      <selection activeCell="O13" sqref="O13"/>
    </sheetView>
  </sheetViews>
  <sheetFormatPr defaultRowHeight="15" x14ac:dyDescent="0.25"/>
  <cols>
    <col min="1" max="1" width="6.7109375" style="156" customWidth="1"/>
    <col min="2" max="2" width="3.28515625" style="156" customWidth="1"/>
    <col min="3" max="3" width="15.28515625" style="184" customWidth="1"/>
    <col min="4" max="4" width="33.42578125" style="184" customWidth="1"/>
    <col min="5" max="5" width="3.140625" style="187" customWidth="1"/>
    <col min="6" max="6" width="2" style="187" customWidth="1"/>
    <col min="7" max="7" width="3.85546875" style="187" customWidth="1"/>
    <col min="8" max="8" width="4.140625" style="161" customWidth="1"/>
    <col min="9" max="9" width="0.28515625" style="161" hidden="1" customWidth="1"/>
    <col min="10" max="10" width="12.140625" style="161" customWidth="1"/>
    <col min="11" max="16384" width="9.140625" style="134"/>
  </cols>
  <sheetData>
    <row r="1" spans="1:14" ht="22.5" customHeight="1" thickBot="1" x14ac:dyDescent="0.3">
      <c r="A1" s="445" t="s">
        <v>24</v>
      </c>
      <c r="B1" s="446"/>
      <c r="C1" s="446"/>
      <c r="D1" s="446"/>
      <c r="E1" s="446"/>
      <c r="F1" s="446"/>
      <c r="G1" s="446"/>
      <c r="H1" s="446"/>
      <c r="I1" s="446"/>
      <c r="J1" s="447"/>
      <c r="K1" s="136"/>
    </row>
    <row r="2" spans="1:14" ht="20.25" customHeight="1" thickBot="1" x14ac:dyDescent="0.3">
      <c r="A2" s="554" t="s">
        <v>0</v>
      </c>
      <c r="B2" s="555"/>
      <c r="C2" s="556"/>
      <c r="D2" s="737" t="s">
        <v>415</v>
      </c>
      <c r="E2" s="738"/>
      <c r="F2" s="738"/>
      <c r="G2" s="738"/>
      <c r="H2" s="738"/>
      <c r="I2" s="738"/>
      <c r="J2" s="739"/>
      <c r="K2" s="136"/>
    </row>
    <row r="3" spans="1:14" ht="9.75" customHeight="1" thickBot="1" x14ac:dyDescent="0.3">
      <c r="A3" s="483"/>
      <c r="B3" s="481"/>
      <c r="C3" s="481"/>
      <c r="D3" s="481"/>
      <c r="E3" s="481"/>
      <c r="F3" s="481"/>
      <c r="G3" s="481"/>
      <c r="H3" s="481"/>
      <c r="I3" s="481"/>
      <c r="J3" s="482"/>
      <c r="K3" s="136"/>
      <c r="L3" s="136"/>
    </row>
    <row r="4" spans="1:14" ht="27" customHeight="1" thickBot="1" x14ac:dyDescent="0.3">
      <c r="A4" s="494" t="s">
        <v>30</v>
      </c>
      <c r="B4" s="495"/>
      <c r="C4" s="495"/>
      <c r="D4" s="495"/>
      <c r="E4" s="495"/>
      <c r="F4" s="495"/>
      <c r="G4" s="495"/>
      <c r="H4" s="495"/>
      <c r="I4" s="495"/>
      <c r="J4" s="496"/>
      <c r="K4" s="136"/>
    </row>
    <row r="5" spans="1:14" x14ac:dyDescent="0.25">
      <c r="A5" s="481" t="s">
        <v>31</v>
      </c>
      <c r="B5" s="481"/>
      <c r="C5" s="481"/>
      <c r="D5" s="481"/>
      <c r="E5" s="481"/>
      <c r="F5" s="481"/>
      <c r="G5" s="481"/>
      <c r="H5" s="481"/>
      <c r="I5" s="481"/>
      <c r="J5" s="481"/>
      <c r="K5" s="136"/>
    </row>
    <row r="6" spans="1:14" x14ac:dyDescent="0.25">
      <c r="A6" s="123" t="s">
        <v>2</v>
      </c>
      <c r="B6" s="606" t="s">
        <v>1</v>
      </c>
      <c r="C6" s="607"/>
      <c r="D6" s="608"/>
      <c r="E6" s="1089">
        <v>2516.38</v>
      </c>
      <c r="F6" s="1089"/>
      <c r="G6" s="1089"/>
      <c r="H6" s="1089"/>
      <c r="I6" s="1089"/>
      <c r="J6" s="1089"/>
      <c r="K6" s="136"/>
    </row>
    <row r="7" spans="1:14" x14ac:dyDescent="0.25">
      <c r="A7" s="123" t="s">
        <v>7</v>
      </c>
      <c r="B7" s="606" t="s">
        <v>25</v>
      </c>
      <c r="C7" s="607"/>
      <c r="D7" s="608"/>
      <c r="E7" s="1086"/>
      <c r="F7" s="1087"/>
      <c r="G7" s="1087"/>
      <c r="H7" s="1087"/>
      <c r="I7" s="1087"/>
      <c r="J7" s="1088"/>
      <c r="K7" s="136"/>
    </row>
    <row r="8" spans="1:14" x14ac:dyDescent="0.25">
      <c r="A8" s="123" t="s">
        <v>8</v>
      </c>
      <c r="B8" s="606" t="s">
        <v>26</v>
      </c>
      <c r="C8" s="607"/>
      <c r="D8" s="608"/>
      <c r="E8" s="1086"/>
      <c r="F8" s="1087"/>
      <c r="G8" s="1087"/>
      <c r="H8" s="1087"/>
      <c r="I8" s="1087"/>
      <c r="J8" s="1088"/>
      <c r="K8" s="136"/>
    </row>
    <row r="9" spans="1:14" x14ac:dyDescent="0.25">
      <c r="A9" s="123" t="s">
        <v>9</v>
      </c>
      <c r="B9" s="606" t="s">
        <v>27</v>
      </c>
      <c r="C9" s="607"/>
      <c r="D9" s="608"/>
      <c r="E9" s="1086"/>
      <c r="F9" s="1087"/>
      <c r="G9" s="1087"/>
      <c r="H9" s="1087"/>
      <c r="I9" s="1087"/>
      <c r="J9" s="1088"/>
      <c r="K9" s="136"/>
    </row>
    <row r="10" spans="1:14" x14ac:dyDescent="0.25">
      <c r="A10" s="123" t="s">
        <v>10</v>
      </c>
      <c r="B10" s="606" t="s">
        <v>28</v>
      </c>
      <c r="C10" s="607"/>
      <c r="D10" s="608"/>
      <c r="E10" s="1089"/>
      <c r="F10" s="1089"/>
      <c r="G10" s="1089"/>
      <c r="H10" s="1089"/>
      <c r="I10" s="1089"/>
      <c r="J10" s="1089"/>
      <c r="K10" s="136"/>
    </row>
    <row r="11" spans="1:14" ht="29.25" customHeight="1" thickBot="1" x14ac:dyDescent="0.3">
      <c r="A11" s="122" t="s">
        <v>11</v>
      </c>
      <c r="B11" s="609" t="s">
        <v>92</v>
      </c>
      <c r="C11" s="610"/>
      <c r="D11" s="611"/>
      <c r="E11" s="1090"/>
      <c r="F11" s="1090"/>
      <c r="G11" s="1090"/>
      <c r="H11" s="1090"/>
      <c r="I11" s="1090"/>
      <c r="J11" s="1090"/>
      <c r="K11" s="136"/>
      <c r="N11" s="155"/>
    </row>
    <row r="12" spans="1:14" ht="15.75" thickBot="1" x14ac:dyDescent="0.3">
      <c r="A12" s="458" t="s">
        <v>319</v>
      </c>
      <c r="B12" s="459"/>
      <c r="C12" s="459"/>
      <c r="D12" s="460"/>
      <c r="E12" s="547">
        <f>SUM(E6:J11)</f>
        <v>2516.38</v>
      </c>
      <c r="F12" s="485"/>
      <c r="G12" s="485"/>
      <c r="H12" s="485"/>
      <c r="I12" s="485"/>
      <c r="J12" s="486"/>
      <c r="K12" s="136"/>
    </row>
    <row r="13" spans="1:14" ht="29.25" customHeight="1" x14ac:dyDescent="0.25">
      <c r="A13" s="551" t="s">
        <v>29</v>
      </c>
      <c r="B13" s="552"/>
      <c r="C13" s="552"/>
      <c r="D13" s="553"/>
      <c r="E13" s="548">
        <f>E12*E30</f>
        <v>926.0278400000002</v>
      </c>
      <c r="F13" s="549"/>
      <c r="G13" s="549"/>
      <c r="H13" s="549"/>
      <c r="I13" s="549"/>
      <c r="J13" s="550"/>
      <c r="K13" s="136"/>
    </row>
    <row r="14" spans="1:14" ht="11.25" customHeight="1" thickBot="1" x14ac:dyDescent="0.3">
      <c r="A14" s="483"/>
      <c r="B14" s="481"/>
      <c r="C14" s="481"/>
      <c r="D14" s="481"/>
      <c r="E14" s="481"/>
      <c r="F14" s="481"/>
      <c r="G14" s="481"/>
      <c r="H14" s="481"/>
      <c r="I14" s="481"/>
      <c r="J14" s="482"/>
      <c r="K14" s="136"/>
    </row>
    <row r="15" spans="1:14" ht="27.75" customHeight="1" thickBot="1" x14ac:dyDescent="0.3">
      <c r="A15" s="494" t="s">
        <v>32</v>
      </c>
      <c r="B15" s="495"/>
      <c r="C15" s="495"/>
      <c r="D15" s="495"/>
      <c r="E15" s="495"/>
      <c r="F15" s="495"/>
      <c r="G15" s="495"/>
      <c r="H15" s="495"/>
      <c r="I15" s="495"/>
      <c r="J15" s="496"/>
      <c r="K15" s="136"/>
    </row>
    <row r="16" spans="1:14" ht="30" customHeight="1" thickBot="1" x14ac:dyDescent="0.3">
      <c r="A16" s="507" t="s">
        <v>344</v>
      </c>
      <c r="B16" s="508"/>
      <c r="C16" s="508"/>
      <c r="D16" s="508"/>
      <c r="E16" s="508"/>
      <c r="F16" s="508"/>
      <c r="G16" s="508"/>
      <c r="H16" s="508"/>
      <c r="I16" s="508"/>
      <c r="J16" s="509"/>
      <c r="K16" s="136"/>
    </row>
    <row r="17" spans="1:13" x14ac:dyDescent="0.25">
      <c r="A17" s="123" t="s">
        <v>2</v>
      </c>
      <c r="B17" s="318" t="s">
        <v>125</v>
      </c>
      <c r="C17" s="1078"/>
      <c r="D17" s="319"/>
      <c r="E17" s="322">
        <v>8.3299999999999999E-2</v>
      </c>
      <c r="F17" s="323"/>
      <c r="G17" s="324"/>
      <c r="H17" s="450">
        <f>E17*E12</f>
        <v>209.61445399999999</v>
      </c>
      <c r="I17" s="450"/>
      <c r="J17" s="450"/>
      <c r="K17" s="136"/>
    </row>
    <row r="18" spans="1:13" x14ac:dyDescent="0.25">
      <c r="A18" s="123" t="s">
        <v>7</v>
      </c>
      <c r="B18" s="318" t="s">
        <v>35</v>
      </c>
      <c r="C18" s="1078"/>
      <c r="D18" s="319"/>
      <c r="E18" s="1079">
        <v>0.121</v>
      </c>
      <c r="F18" s="1080"/>
      <c r="G18" s="1081"/>
      <c r="H18" s="450">
        <f>E18*E12</f>
        <v>304.48198000000002</v>
      </c>
      <c r="I18" s="450"/>
      <c r="J18" s="450"/>
      <c r="K18" s="136"/>
      <c r="M18" s="183"/>
    </row>
    <row r="19" spans="1:13" x14ac:dyDescent="0.25">
      <c r="A19" s="522" t="s">
        <v>36</v>
      </c>
      <c r="B19" s="523"/>
      <c r="C19" s="523"/>
      <c r="D19" s="523"/>
      <c r="E19" s="523"/>
      <c r="F19" s="523"/>
      <c r="G19" s="524"/>
      <c r="H19" s="525">
        <f>SUM(H17:J18)</f>
        <v>514.09643400000004</v>
      </c>
      <c r="I19" s="525"/>
      <c r="J19" s="525"/>
      <c r="K19" s="136"/>
    </row>
    <row r="20" spans="1:13" ht="26.25" customHeight="1" thickBot="1" x14ac:dyDescent="0.3">
      <c r="A20" s="123" t="s">
        <v>8</v>
      </c>
      <c r="B20" s="320" t="s">
        <v>37</v>
      </c>
      <c r="C20" s="1085"/>
      <c r="D20" s="321"/>
      <c r="E20" s="1079">
        <v>7.8200000000000006E-2</v>
      </c>
      <c r="F20" s="1080"/>
      <c r="G20" s="1081"/>
      <c r="H20" s="290">
        <f>E12*E20</f>
        <v>196.78091600000002</v>
      </c>
      <c r="I20" s="291"/>
      <c r="J20" s="292"/>
      <c r="K20" s="136"/>
    </row>
    <row r="21" spans="1:13" ht="30" customHeight="1" thickBot="1" x14ac:dyDescent="0.3">
      <c r="A21" s="507" t="s">
        <v>45</v>
      </c>
      <c r="B21" s="508"/>
      <c r="C21" s="508"/>
      <c r="D21" s="508"/>
      <c r="E21" s="508"/>
      <c r="F21" s="508"/>
      <c r="G21" s="508"/>
      <c r="H21" s="508"/>
      <c r="I21" s="508"/>
      <c r="J21" s="509"/>
      <c r="K21" s="136"/>
    </row>
    <row r="22" spans="1:13" x14ac:dyDescent="0.25">
      <c r="A22" s="954" t="s">
        <v>2</v>
      </c>
      <c r="B22" s="955"/>
      <c r="C22" s="1076" t="s">
        <v>3</v>
      </c>
      <c r="D22" s="1077"/>
      <c r="E22" s="603">
        <v>0.2</v>
      </c>
      <c r="F22" s="603"/>
      <c r="G22" s="603"/>
      <c r="H22" s="450">
        <f>E22*(E12+H19)</f>
        <v>606.09528680000005</v>
      </c>
      <c r="I22" s="450"/>
      <c r="J22" s="450"/>
      <c r="K22" s="136"/>
    </row>
    <row r="23" spans="1:13" x14ac:dyDescent="0.25">
      <c r="A23" s="954" t="s">
        <v>7</v>
      </c>
      <c r="B23" s="955"/>
      <c r="C23" s="318" t="s">
        <v>41</v>
      </c>
      <c r="D23" s="319"/>
      <c r="E23" s="1061">
        <v>2.5000000000000001E-2</v>
      </c>
      <c r="F23" s="1061"/>
      <c r="G23" s="1061"/>
      <c r="H23" s="450">
        <f>E23*(E12+H19)</f>
        <v>75.761910850000007</v>
      </c>
      <c r="I23" s="450"/>
      <c r="J23" s="450"/>
      <c r="K23" s="136"/>
    </row>
    <row r="24" spans="1:13" x14ac:dyDescent="0.25">
      <c r="A24" s="954" t="s">
        <v>8</v>
      </c>
      <c r="B24" s="955"/>
      <c r="C24" s="1082" t="s">
        <v>42</v>
      </c>
      <c r="D24" s="1083"/>
      <c r="E24" s="1084">
        <v>0.03</v>
      </c>
      <c r="F24" s="1084"/>
      <c r="G24" s="1084"/>
      <c r="H24" s="450">
        <f>E24*(E12+H19)</f>
        <v>90.914293020000002</v>
      </c>
      <c r="I24" s="450"/>
      <c r="J24" s="450"/>
      <c r="K24" s="136"/>
    </row>
    <row r="25" spans="1:13" x14ac:dyDescent="0.25">
      <c r="A25" s="954" t="s">
        <v>9</v>
      </c>
      <c r="B25" s="955"/>
      <c r="C25" s="318" t="s">
        <v>43</v>
      </c>
      <c r="D25" s="319"/>
      <c r="E25" s="1061">
        <v>1.4999999999999999E-2</v>
      </c>
      <c r="F25" s="1061"/>
      <c r="G25" s="1061"/>
      <c r="H25" s="450">
        <f>E25*(E12+H19)</f>
        <v>45.457146510000001</v>
      </c>
      <c r="I25" s="450"/>
      <c r="J25" s="450"/>
      <c r="K25" s="136"/>
    </row>
    <row r="26" spans="1:13" x14ac:dyDescent="0.25">
      <c r="A26" s="954" t="s">
        <v>10</v>
      </c>
      <c r="B26" s="955"/>
      <c r="C26" s="318" t="s">
        <v>44</v>
      </c>
      <c r="D26" s="319"/>
      <c r="E26" s="1061">
        <v>0.01</v>
      </c>
      <c r="F26" s="1061"/>
      <c r="G26" s="1061"/>
      <c r="H26" s="450">
        <f>E26*(E12+H19)</f>
        <v>30.304764340000002</v>
      </c>
      <c r="I26" s="450"/>
      <c r="J26" s="450"/>
      <c r="K26" s="136"/>
    </row>
    <row r="27" spans="1:13" x14ac:dyDescent="0.25">
      <c r="A27" s="954" t="s">
        <v>11</v>
      </c>
      <c r="B27" s="955"/>
      <c r="C27" s="318" t="s">
        <v>6</v>
      </c>
      <c r="D27" s="319"/>
      <c r="E27" s="1061">
        <v>6.0000000000000001E-3</v>
      </c>
      <c r="F27" s="1061"/>
      <c r="G27" s="1061"/>
      <c r="H27" s="450">
        <f>E27*(E12+H19)</f>
        <v>18.182858604</v>
      </c>
      <c r="I27" s="450"/>
      <c r="J27" s="450"/>
      <c r="K27" s="136"/>
    </row>
    <row r="28" spans="1:13" x14ac:dyDescent="0.25">
      <c r="A28" s="954" t="s">
        <v>39</v>
      </c>
      <c r="B28" s="955"/>
      <c r="C28" s="318" t="s">
        <v>5</v>
      </c>
      <c r="D28" s="319"/>
      <c r="E28" s="1061">
        <v>2E-3</v>
      </c>
      <c r="F28" s="1061"/>
      <c r="G28" s="1061"/>
      <c r="H28" s="450">
        <f>E28*(E12+H19)</f>
        <v>6.0609528680000002</v>
      </c>
      <c r="I28" s="450"/>
      <c r="J28" s="450"/>
      <c r="K28" s="136"/>
    </row>
    <row r="29" spans="1:13" x14ac:dyDescent="0.25">
      <c r="A29" s="954" t="s">
        <v>40</v>
      </c>
      <c r="B29" s="955"/>
      <c r="C29" s="318" t="s">
        <v>4</v>
      </c>
      <c r="D29" s="1078"/>
      <c r="E29" s="1079">
        <v>0.08</v>
      </c>
      <c r="F29" s="1080"/>
      <c r="G29" s="1081"/>
      <c r="H29" s="450">
        <f>E29*(E12+H19)</f>
        <v>242.43811472000002</v>
      </c>
      <c r="I29" s="450"/>
      <c r="J29" s="450"/>
      <c r="K29" s="136"/>
    </row>
    <row r="30" spans="1:13" ht="15.75" thickBot="1" x14ac:dyDescent="0.3">
      <c r="A30" s="588" t="s">
        <v>36</v>
      </c>
      <c r="B30" s="588"/>
      <c r="C30" s="588"/>
      <c r="D30" s="588"/>
      <c r="E30" s="589">
        <f>SUM(E22:G29)</f>
        <v>0.36800000000000005</v>
      </c>
      <c r="F30" s="590"/>
      <c r="G30" s="591"/>
      <c r="H30" s="592">
        <f>SUM(H22:J29)</f>
        <v>1115.2153277120001</v>
      </c>
      <c r="I30" s="592"/>
      <c r="J30" s="592"/>
      <c r="K30" s="136"/>
    </row>
    <row r="31" spans="1:13" ht="15.75" thickBot="1" x14ac:dyDescent="0.3">
      <c r="A31" s="507" t="s">
        <v>48</v>
      </c>
      <c r="B31" s="508"/>
      <c r="C31" s="508"/>
      <c r="D31" s="508"/>
      <c r="E31" s="508"/>
      <c r="F31" s="508"/>
      <c r="G31" s="508"/>
      <c r="H31" s="508"/>
      <c r="I31" s="508"/>
      <c r="J31" s="509"/>
      <c r="K31" s="136"/>
    </row>
    <row r="32" spans="1:13" x14ac:dyDescent="0.25">
      <c r="A32" s="954" t="s">
        <v>2</v>
      </c>
      <c r="B32" s="955"/>
      <c r="C32" s="1076" t="s">
        <v>46</v>
      </c>
      <c r="D32" s="1077"/>
      <c r="E32" s="603"/>
      <c r="F32" s="603"/>
      <c r="G32" s="603"/>
      <c r="H32" s="450">
        <v>0</v>
      </c>
      <c r="I32" s="450"/>
      <c r="J32" s="450"/>
      <c r="K32" s="136"/>
    </row>
    <row r="33" spans="1:11" x14ac:dyDescent="0.25">
      <c r="A33" s="954" t="s">
        <v>7</v>
      </c>
      <c r="B33" s="955"/>
      <c r="C33" s="318" t="s">
        <v>279</v>
      </c>
      <c r="D33" s="319"/>
      <c r="E33" s="1061"/>
      <c r="F33" s="1061"/>
      <c r="G33" s="1061"/>
      <c r="H33" s="450">
        <f>(22.7*21)-5%</f>
        <v>476.65</v>
      </c>
      <c r="I33" s="450"/>
      <c r="J33" s="450"/>
      <c r="K33" s="136"/>
    </row>
    <row r="34" spans="1:11" x14ac:dyDescent="0.25">
      <c r="A34" s="954" t="s">
        <v>8</v>
      </c>
      <c r="B34" s="955"/>
      <c r="C34" s="320" t="s">
        <v>49</v>
      </c>
      <c r="D34" s="321"/>
      <c r="E34" s="1061"/>
      <c r="F34" s="1061"/>
      <c r="G34" s="1061"/>
      <c r="H34" s="450">
        <v>0</v>
      </c>
      <c r="I34" s="450"/>
      <c r="J34" s="450"/>
      <c r="K34" s="136"/>
    </row>
    <row r="35" spans="1:11" x14ac:dyDescent="0.25">
      <c r="A35" s="954" t="s">
        <v>9</v>
      </c>
      <c r="B35" s="955"/>
      <c r="C35" s="962" t="s">
        <v>149</v>
      </c>
      <c r="D35" s="963"/>
      <c r="E35" s="1061"/>
      <c r="F35" s="1061"/>
      <c r="G35" s="1061"/>
      <c r="H35" s="450">
        <v>0</v>
      </c>
      <c r="I35" s="450"/>
      <c r="J35" s="450"/>
      <c r="K35" s="136"/>
    </row>
    <row r="36" spans="1:11" ht="16.5" thickBot="1" x14ac:dyDescent="0.3">
      <c r="A36" s="1072" t="s">
        <v>38</v>
      </c>
      <c r="B36" s="1073"/>
      <c r="C36" s="1073"/>
      <c r="D36" s="1073"/>
      <c r="E36" s="1073"/>
      <c r="F36" s="1073"/>
      <c r="G36" s="1074"/>
      <c r="H36" s="1075">
        <f>SUM(H32:J35)</f>
        <v>476.65</v>
      </c>
      <c r="I36" s="1075"/>
      <c r="J36" s="1075"/>
      <c r="K36" s="136"/>
    </row>
    <row r="37" spans="1:11" ht="16.5" thickBot="1" x14ac:dyDescent="0.3">
      <c r="A37" s="458" t="s">
        <v>72</v>
      </c>
      <c r="B37" s="459"/>
      <c r="C37" s="459"/>
      <c r="D37" s="460"/>
      <c r="E37" s="1069">
        <f>H19+H30+H36</f>
        <v>2105.9617617120002</v>
      </c>
      <c r="F37" s="1070"/>
      <c r="G37" s="1070"/>
      <c r="H37" s="1070"/>
      <c r="I37" s="1070"/>
      <c r="J37" s="1071"/>
      <c r="K37" s="136"/>
    </row>
    <row r="38" spans="1:11" ht="10.5" customHeight="1" thickBot="1" x14ac:dyDescent="0.3">
      <c r="A38" s="602"/>
      <c r="B38" s="602"/>
      <c r="C38" s="602"/>
      <c r="D38" s="602"/>
      <c r="E38" s="602"/>
      <c r="F38" s="602"/>
      <c r="G38" s="602"/>
      <c r="H38" s="602"/>
      <c r="I38" s="602"/>
      <c r="J38" s="602"/>
      <c r="K38" s="136"/>
    </row>
    <row r="39" spans="1:11" ht="27.75" customHeight="1" thickBot="1" x14ac:dyDescent="0.3">
      <c r="A39" s="494" t="s">
        <v>129</v>
      </c>
      <c r="B39" s="495"/>
      <c r="C39" s="495"/>
      <c r="D39" s="495"/>
      <c r="E39" s="495"/>
      <c r="F39" s="495"/>
      <c r="G39" s="495"/>
      <c r="H39" s="495"/>
      <c r="I39" s="495"/>
      <c r="J39" s="496"/>
      <c r="K39" s="136"/>
    </row>
    <row r="40" spans="1:11" x14ac:dyDescent="0.25">
      <c r="A40" s="954" t="s">
        <v>2</v>
      </c>
      <c r="B40" s="955"/>
      <c r="C40" s="452" t="s">
        <v>51</v>
      </c>
      <c r="D40" s="453"/>
      <c r="E40" s="128"/>
      <c r="F40" s="129"/>
      <c r="G40" s="130"/>
      <c r="H40" s="456">
        <f>E12/12*5%</f>
        <v>10.484916666666669</v>
      </c>
      <c r="I40" s="457"/>
      <c r="J40" s="453"/>
      <c r="K40" s="136"/>
    </row>
    <row r="41" spans="1:11" x14ac:dyDescent="0.25">
      <c r="A41" s="954" t="s">
        <v>7</v>
      </c>
      <c r="B41" s="955"/>
      <c r="C41" s="452" t="s">
        <v>52</v>
      </c>
      <c r="D41" s="453"/>
      <c r="E41" s="128"/>
      <c r="F41" s="129"/>
      <c r="G41" s="130"/>
      <c r="H41" s="456">
        <f>H40*8%</f>
        <v>0.8387933333333335</v>
      </c>
      <c r="I41" s="457"/>
      <c r="J41" s="453"/>
      <c r="K41" s="136"/>
    </row>
    <row r="42" spans="1:11" ht="27.75" customHeight="1" x14ac:dyDescent="0.25">
      <c r="A42" s="954" t="s">
        <v>8</v>
      </c>
      <c r="B42" s="955"/>
      <c r="C42" s="320" t="s">
        <v>53</v>
      </c>
      <c r="D42" s="321"/>
      <c r="E42" s="322"/>
      <c r="F42" s="323"/>
      <c r="G42" s="324"/>
      <c r="H42" s="450">
        <f>E42*E12</f>
        <v>0</v>
      </c>
      <c r="I42" s="450"/>
      <c r="J42" s="450"/>
      <c r="K42" s="136"/>
    </row>
    <row r="43" spans="1:11" x14ac:dyDescent="0.25">
      <c r="A43" s="1060" t="s">
        <v>9</v>
      </c>
      <c r="B43" s="1060"/>
      <c r="C43" s="318" t="s">
        <v>54</v>
      </c>
      <c r="D43" s="319"/>
      <c r="E43" s="1061"/>
      <c r="F43" s="1061"/>
      <c r="G43" s="1061"/>
      <c r="H43" s="450">
        <f>E12/30/12*7*100%</f>
        <v>48.929611111111107</v>
      </c>
      <c r="I43" s="450"/>
      <c r="J43" s="450"/>
      <c r="K43" s="136"/>
    </row>
    <row r="44" spans="1:11" ht="27.75" customHeight="1" x14ac:dyDescent="0.25">
      <c r="A44" s="1060" t="s">
        <v>10</v>
      </c>
      <c r="B44" s="1060"/>
      <c r="C44" s="962" t="s">
        <v>93</v>
      </c>
      <c r="D44" s="963"/>
      <c r="E44" s="1061"/>
      <c r="F44" s="1061"/>
      <c r="G44" s="1061"/>
      <c r="H44" s="450">
        <f>H43*39.8%</f>
        <v>19.473985222222218</v>
      </c>
      <c r="I44" s="450"/>
      <c r="J44" s="450"/>
      <c r="K44" s="136"/>
    </row>
    <row r="45" spans="1:11" ht="30" customHeight="1" thickBot="1" x14ac:dyDescent="0.3">
      <c r="A45" s="1062" t="s">
        <v>11</v>
      </c>
      <c r="B45" s="1063"/>
      <c r="C45" s="1064" t="s">
        <v>53</v>
      </c>
      <c r="D45" s="1065"/>
      <c r="E45" s="1066"/>
      <c r="F45" s="1067"/>
      <c r="G45" s="1068"/>
      <c r="H45" s="470">
        <f>E12*5%</f>
        <v>125.81900000000002</v>
      </c>
      <c r="I45" s="471"/>
      <c r="J45" s="472"/>
      <c r="K45" s="136"/>
    </row>
    <row r="46" spans="1:11" ht="15.75" thickBot="1" x14ac:dyDescent="0.3">
      <c r="A46" s="570" t="s">
        <v>318</v>
      </c>
      <c r="B46" s="571"/>
      <c r="C46" s="571"/>
      <c r="D46" s="571"/>
      <c r="E46" s="571"/>
      <c r="F46" s="571"/>
      <c r="G46" s="572"/>
      <c r="H46" s="547">
        <f>SUM(H40:J45)</f>
        <v>205.54630633333335</v>
      </c>
      <c r="I46" s="485"/>
      <c r="J46" s="486"/>
      <c r="K46" s="136"/>
    </row>
    <row r="47" spans="1:11" ht="10.5" customHeight="1" thickBot="1" x14ac:dyDescent="0.3">
      <c r="E47" s="185"/>
      <c r="F47" s="185"/>
      <c r="G47" s="185"/>
      <c r="K47" s="136"/>
    </row>
    <row r="48" spans="1:11" ht="33" customHeight="1" thickBot="1" x14ac:dyDescent="0.3">
      <c r="A48" s="494" t="s">
        <v>416</v>
      </c>
      <c r="B48" s="495"/>
      <c r="C48" s="495"/>
      <c r="D48" s="495"/>
      <c r="E48" s="495"/>
      <c r="F48" s="495"/>
      <c r="G48" s="495"/>
      <c r="H48" s="495"/>
      <c r="I48" s="495"/>
      <c r="J48" s="496"/>
      <c r="K48" s="136"/>
    </row>
    <row r="49" spans="1:11" x14ac:dyDescent="0.25">
      <c r="A49" s="954" t="s">
        <v>2</v>
      </c>
      <c r="B49" s="955"/>
      <c r="C49" s="452" t="s">
        <v>56</v>
      </c>
      <c r="D49" s="453"/>
      <c r="E49" s="128"/>
      <c r="F49" s="129"/>
      <c r="G49" s="130"/>
      <c r="H49" s="456">
        <f>E20/12*5%</f>
        <v>3.2583333333333336E-4</v>
      </c>
      <c r="I49" s="457"/>
      <c r="J49" s="453"/>
      <c r="K49" s="136"/>
    </row>
    <row r="50" spans="1:11" x14ac:dyDescent="0.25">
      <c r="A50" s="954" t="s">
        <v>7</v>
      </c>
      <c r="B50" s="955"/>
      <c r="C50" s="452" t="s">
        <v>57</v>
      </c>
      <c r="D50" s="453"/>
      <c r="E50" s="128"/>
      <c r="F50" s="129"/>
      <c r="G50" s="130"/>
      <c r="H50" s="456">
        <f>E12/30/12</f>
        <v>6.9899444444444443</v>
      </c>
      <c r="I50" s="457"/>
      <c r="J50" s="453"/>
      <c r="K50" s="136"/>
    </row>
    <row r="51" spans="1:11" x14ac:dyDescent="0.25">
      <c r="A51" s="954" t="s">
        <v>8</v>
      </c>
      <c r="B51" s="955"/>
      <c r="C51" s="320" t="s">
        <v>58</v>
      </c>
      <c r="D51" s="321"/>
      <c r="E51" s="322"/>
      <c r="F51" s="323"/>
      <c r="G51" s="324"/>
      <c r="H51" s="450">
        <f>E12/30/12*5*1.5%</f>
        <v>0.5242458333333333</v>
      </c>
      <c r="I51" s="450"/>
      <c r="J51" s="450"/>
      <c r="K51" s="136"/>
    </row>
    <row r="52" spans="1:11" ht="27" customHeight="1" x14ac:dyDescent="0.25">
      <c r="A52" s="1060" t="s">
        <v>9</v>
      </c>
      <c r="B52" s="1060"/>
      <c r="C52" s="320" t="s">
        <v>59</v>
      </c>
      <c r="D52" s="321"/>
      <c r="E52" s="1061"/>
      <c r="F52" s="1061"/>
      <c r="G52" s="1061"/>
      <c r="H52" s="450">
        <f>E12/30/12*15*8%</f>
        <v>8.3879333333333328</v>
      </c>
      <c r="I52" s="450"/>
      <c r="J52" s="450"/>
      <c r="K52" s="136"/>
    </row>
    <row r="53" spans="1:11" x14ac:dyDescent="0.25">
      <c r="A53" s="1060" t="s">
        <v>10</v>
      </c>
      <c r="B53" s="1060"/>
      <c r="C53" s="962" t="s">
        <v>60</v>
      </c>
      <c r="D53" s="963"/>
      <c r="E53" s="1061"/>
      <c r="F53" s="1061"/>
      <c r="G53" s="1061"/>
      <c r="H53" s="450">
        <f>E20*5%</f>
        <v>3.9100000000000003E-3</v>
      </c>
      <c r="I53" s="450"/>
      <c r="J53" s="450"/>
      <c r="K53" s="136"/>
    </row>
    <row r="54" spans="1:11" ht="29.25" customHeight="1" x14ac:dyDescent="0.25">
      <c r="A54" s="1060" t="s">
        <v>11</v>
      </c>
      <c r="B54" s="1060"/>
      <c r="C54" s="962" t="s">
        <v>61</v>
      </c>
      <c r="D54" s="963"/>
      <c r="E54" s="1061"/>
      <c r="F54" s="1061"/>
      <c r="G54" s="1061"/>
      <c r="H54" s="450">
        <f>E12/30/12*5*40%</f>
        <v>13.979888888888889</v>
      </c>
      <c r="I54" s="450"/>
      <c r="J54" s="450"/>
      <c r="K54" s="136"/>
    </row>
    <row r="55" spans="1:11" ht="29.25" customHeight="1" x14ac:dyDescent="0.25">
      <c r="A55" s="1060" t="s">
        <v>39</v>
      </c>
      <c r="B55" s="1060"/>
      <c r="C55" s="962" t="s">
        <v>62</v>
      </c>
      <c r="D55" s="963"/>
      <c r="E55" s="1061"/>
      <c r="F55" s="1061"/>
      <c r="G55" s="1061"/>
      <c r="H55" s="450">
        <f>SUM(H49:J54)*39.8%</f>
        <v>11.894726836666665</v>
      </c>
      <c r="I55" s="450"/>
      <c r="J55" s="450"/>
      <c r="K55" s="136"/>
    </row>
    <row r="56" spans="1:11" ht="15.75" thickBot="1" x14ac:dyDescent="0.3">
      <c r="A56" s="588" t="s">
        <v>36</v>
      </c>
      <c r="B56" s="588"/>
      <c r="C56" s="588"/>
      <c r="D56" s="588"/>
      <c r="E56" s="589"/>
      <c r="F56" s="590"/>
      <c r="G56" s="591"/>
      <c r="H56" s="592">
        <f>SUM(H49:J55)</f>
        <v>41.780975169999998</v>
      </c>
      <c r="I56" s="592"/>
      <c r="J56" s="592"/>
      <c r="K56" s="136"/>
    </row>
    <row r="57" spans="1:11" ht="15.75" thickBot="1" x14ac:dyDescent="0.3">
      <c r="A57" s="507" t="s">
        <v>127</v>
      </c>
      <c r="B57" s="508"/>
      <c r="C57" s="508"/>
      <c r="D57" s="508"/>
      <c r="E57" s="508"/>
      <c r="F57" s="508"/>
      <c r="G57" s="508"/>
      <c r="H57" s="508"/>
      <c r="I57" s="508"/>
      <c r="J57" s="509"/>
      <c r="K57" s="136"/>
    </row>
    <row r="58" spans="1:11" ht="28.5" customHeight="1" x14ac:dyDescent="0.25">
      <c r="A58" s="954" t="s">
        <v>2</v>
      </c>
      <c r="B58" s="955"/>
      <c r="C58" s="454" t="s">
        <v>64</v>
      </c>
      <c r="D58" s="455"/>
      <c r="E58" s="128"/>
      <c r="F58" s="129"/>
      <c r="G58" s="130"/>
      <c r="H58" s="456">
        <f>((((E12+(E12/3))*0.3333)/12)*2%)</f>
        <v>1.8637987866666665</v>
      </c>
      <c r="I58" s="457"/>
      <c r="J58" s="453"/>
      <c r="K58" s="136"/>
    </row>
    <row r="59" spans="1:11" ht="42" customHeight="1" x14ac:dyDescent="0.25">
      <c r="A59" s="954" t="s">
        <v>7</v>
      </c>
      <c r="B59" s="955"/>
      <c r="C59" s="454" t="s">
        <v>65</v>
      </c>
      <c r="D59" s="455"/>
      <c r="E59" s="128"/>
      <c r="F59" s="129"/>
      <c r="G59" s="130"/>
      <c r="H59" s="456">
        <f>H58*39.8%</f>
        <v>0.74179191709333325</v>
      </c>
      <c r="I59" s="457"/>
      <c r="J59" s="453"/>
      <c r="K59" s="136"/>
    </row>
    <row r="60" spans="1:11" ht="42" customHeight="1" x14ac:dyDescent="0.25">
      <c r="A60" s="954" t="s">
        <v>8</v>
      </c>
      <c r="B60" s="955"/>
      <c r="C60" s="454" t="s">
        <v>66</v>
      </c>
      <c r="D60" s="455"/>
      <c r="E60" s="322"/>
      <c r="F60" s="323"/>
      <c r="G60" s="324"/>
      <c r="H60" s="450">
        <f>(((E12+H17)*0.333)*2%)*39.8%</f>
        <v>7.2257389793287201</v>
      </c>
      <c r="I60" s="450"/>
      <c r="J60" s="450"/>
      <c r="K60" s="136"/>
    </row>
    <row r="61" spans="1:11" x14ac:dyDescent="0.25">
      <c r="A61" s="1060" t="s">
        <v>9</v>
      </c>
      <c r="B61" s="1060"/>
      <c r="C61" s="318" t="s">
        <v>67</v>
      </c>
      <c r="D61" s="319"/>
      <c r="E61" s="1061"/>
      <c r="F61" s="1061"/>
      <c r="G61" s="1061"/>
      <c r="H61" s="450"/>
      <c r="I61" s="450"/>
      <c r="J61" s="450"/>
      <c r="K61" s="136"/>
    </row>
    <row r="62" spans="1:11" ht="15.75" thickBot="1" x14ac:dyDescent="0.3">
      <c r="A62" s="588" t="s">
        <v>36</v>
      </c>
      <c r="B62" s="588"/>
      <c r="C62" s="588"/>
      <c r="D62" s="588"/>
      <c r="E62" s="589"/>
      <c r="F62" s="590"/>
      <c r="G62" s="591"/>
      <c r="H62" s="592">
        <f>SUM(H58:J61)</f>
        <v>9.83132968308872</v>
      </c>
      <c r="I62" s="592"/>
      <c r="J62" s="592"/>
      <c r="K62" s="136"/>
    </row>
    <row r="63" spans="1:11" ht="30" customHeight="1" thickBot="1" x14ac:dyDescent="0.3">
      <c r="A63" s="507" t="s">
        <v>421</v>
      </c>
      <c r="B63" s="508"/>
      <c r="C63" s="508"/>
      <c r="D63" s="508"/>
      <c r="E63" s="508"/>
      <c r="F63" s="508"/>
      <c r="G63" s="508"/>
      <c r="H63" s="508"/>
      <c r="I63" s="508"/>
      <c r="J63" s="509"/>
      <c r="K63" s="136"/>
    </row>
    <row r="64" spans="1:11" ht="24.75" customHeight="1" x14ac:dyDescent="0.25">
      <c r="A64" s="954" t="s">
        <v>2</v>
      </c>
      <c r="B64" s="955"/>
      <c r="C64" s="454" t="s">
        <v>69</v>
      </c>
      <c r="D64" s="455"/>
      <c r="E64" s="128"/>
      <c r="F64" s="129"/>
      <c r="G64" s="130"/>
      <c r="H64" s="456">
        <f>((((E18+(E18/3))*0.3333)/12)*2%)</f>
        <v>8.9620666666666654E-5</v>
      </c>
      <c r="I64" s="457"/>
      <c r="J64" s="453"/>
      <c r="K64" s="136"/>
    </row>
    <row r="65" spans="1:14" ht="30" customHeight="1" x14ac:dyDescent="0.25">
      <c r="A65" s="954" t="s">
        <v>7</v>
      </c>
      <c r="B65" s="955"/>
      <c r="C65" s="454" t="s">
        <v>70</v>
      </c>
      <c r="D65" s="455"/>
      <c r="E65" s="128"/>
      <c r="F65" s="129"/>
      <c r="G65" s="130"/>
      <c r="H65" s="456">
        <f>H64*39.8%</f>
        <v>3.5669025333333325E-5</v>
      </c>
      <c r="I65" s="457"/>
      <c r="J65" s="453"/>
      <c r="K65" s="136"/>
    </row>
    <row r="66" spans="1:14" ht="15.75" thickBot="1" x14ac:dyDescent="0.3">
      <c r="A66" s="487" t="s">
        <v>36</v>
      </c>
      <c r="B66" s="487"/>
      <c r="C66" s="487"/>
      <c r="D66" s="487"/>
      <c r="E66" s="491"/>
      <c r="F66" s="492"/>
      <c r="G66" s="493"/>
      <c r="H66" s="451">
        <f>SUM(H64:J65)</f>
        <v>1.2528969199999997E-4</v>
      </c>
      <c r="I66" s="451"/>
      <c r="J66" s="451"/>
      <c r="K66" s="136"/>
    </row>
    <row r="67" spans="1:14" ht="15.75" thickBot="1" x14ac:dyDescent="0.3">
      <c r="A67" s="458" t="s">
        <v>71</v>
      </c>
      <c r="B67" s="459"/>
      <c r="C67" s="459"/>
      <c r="D67" s="460"/>
      <c r="E67" s="587">
        <f>H66+H62+H56</f>
        <v>51.612430142780717</v>
      </c>
      <c r="F67" s="498"/>
      <c r="G67" s="498"/>
      <c r="H67" s="498"/>
      <c r="I67" s="498"/>
      <c r="J67" s="499"/>
      <c r="K67" s="136"/>
    </row>
    <row r="68" spans="1:14" ht="10.5" customHeight="1" thickBot="1" x14ac:dyDescent="0.3">
      <c r="A68" s="135"/>
      <c r="B68" s="135"/>
      <c r="C68" s="135"/>
      <c r="D68" s="135"/>
      <c r="E68" s="132"/>
      <c r="F68" s="132"/>
      <c r="G68" s="132"/>
      <c r="H68" s="135"/>
      <c r="I68" s="135"/>
      <c r="J68" s="135"/>
      <c r="K68" s="136"/>
    </row>
    <row r="69" spans="1:14" ht="27" customHeight="1" thickBot="1" x14ac:dyDescent="0.3">
      <c r="A69" s="494" t="s">
        <v>73</v>
      </c>
      <c r="B69" s="495"/>
      <c r="C69" s="495"/>
      <c r="D69" s="495"/>
      <c r="E69" s="495"/>
      <c r="F69" s="495"/>
      <c r="G69" s="495"/>
      <c r="H69" s="495"/>
      <c r="I69" s="495"/>
      <c r="J69" s="496"/>
      <c r="K69" s="136"/>
    </row>
    <row r="70" spans="1:14" x14ac:dyDescent="0.25">
      <c r="A70" s="954" t="s">
        <v>2</v>
      </c>
      <c r="B70" s="955"/>
      <c r="C70" s="452" t="s">
        <v>74</v>
      </c>
      <c r="D70" s="453"/>
      <c r="E70" s="839"/>
      <c r="F70" s="840"/>
      <c r="G70" s="841"/>
      <c r="H70" s="456">
        <v>100</v>
      </c>
      <c r="I70" s="457"/>
      <c r="J70" s="453"/>
      <c r="K70" s="136"/>
    </row>
    <row r="71" spans="1:14" x14ac:dyDescent="0.25">
      <c r="A71" s="954" t="s">
        <v>7</v>
      </c>
      <c r="B71" s="955"/>
      <c r="C71" s="452" t="s">
        <v>75</v>
      </c>
      <c r="D71" s="453"/>
      <c r="E71" s="128"/>
      <c r="F71" s="129"/>
      <c r="G71" s="130"/>
      <c r="H71" s="456">
        <v>5.56</v>
      </c>
      <c r="I71" s="457"/>
      <c r="J71" s="453"/>
      <c r="K71" s="136"/>
    </row>
    <row r="72" spans="1:14" x14ac:dyDescent="0.25">
      <c r="A72" s="954" t="s">
        <v>8</v>
      </c>
      <c r="B72" s="955"/>
      <c r="C72" s="320" t="s">
        <v>76</v>
      </c>
      <c r="D72" s="321"/>
      <c r="E72" s="322"/>
      <c r="F72" s="323"/>
      <c r="G72" s="324"/>
      <c r="H72" s="450">
        <v>0</v>
      </c>
      <c r="I72" s="450"/>
      <c r="J72" s="450"/>
      <c r="K72" s="136"/>
    </row>
    <row r="73" spans="1:14" ht="15.75" thickBot="1" x14ac:dyDescent="0.3">
      <c r="A73" s="1056" t="s">
        <v>9</v>
      </c>
      <c r="B73" s="1056"/>
      <c r="C73" s="1057" t="s">
        <v>28</v>
      </c>
      <c r="D73" s="1058"/>
      <c r="E73" s="1059"/>
      <c r="F73" s="1059"/>
      <c r="G73" s="1059"/>
      <c r="H73" s="449">
        <f>E31/30/12*15*8%</f>
        <v>0</v>
      </c>
      <c r="I73" s="449"/>
      <c r="J73" s="449"/>
      <c r="K73" s="136"/>
    </row>
    <row r="74" spans="1:14" ht="15.75" thickBot="1" x14ac:dyDescent="0.3">
      <c r="A74" s="570" t="s">
        <v>320</v>
      </c>
      <c r="B74" s="571"/>
      <c r="C74" s="571"/>
      <c r="D74" s="571"/>
      <c r="E74" s="571"/>
      <c r="F74" s="571"/>
      <c r="G74" s="572"/>
      <c r="H74" s="547">
        <f>SUM(H70:J73)</f>
        <v>105.56</v>
      </c>
      <c r="I74" s="485"/>
      <c r="J74" s="486"/>
      <c r="K74" s="136"/>
      <c r="N74" s="146"/>
    </row>
    <row r="75" spans="1:14" ht="10.5" customHeight="1" thickBot="1" x14ac:dyDescent="0.3">
      <c r="E75" s="185"/>
      <c r="F75" s="185"/>
      <c r="G75" s="185"/>
      <c r="K75" s="136"/>
    </row>
    <row r="76" spans="1:14" ht="27" customHeight="1" thickBot="1" x14ac:dyDescent="0.3">
      <c r="A76" s="494" t="s">
        <v>84</v>
      </c>
      <c r="B76" s="495"/>
      <c r="C76" s="495"/>
      <c r="D76" s="495"/>
      <c r="E76" s="495"/>
      <c r="F76" s="495"/>
      <c r="G76" s="495"/>
      <c r="H76" s="495"/>
      <c r="I76" s="495"/>
      <c r="J76" s="496"/>
      <c r="K76" s="136"/>
    </row>
    <row r="77" spans="1:14" x14ac:dyDescent="0.25">
      <c r="A77" s="954" t="s">
        <v>2</v>
      </c>
      <c r="B77" s="955"/>
      <c r="C77" s="452" t="s">
        <v>77</v>
      </c>
      <c r="D77" s="453"/>
      <c r="E77" s="843">
        <v>7.0000000000000007E-2</v>
      </c>
      <c r="F77" s="840"/>
      <c r="G77" s="841"/>
      <c r="H77" s="456">
        <f>(H74+E67+H46+E37+E12)*E77</f>
        <v>348.95423487316805</v>
      </c>
      <c r="I77" s="457"/>
      <c r="J77" s="453"/>
      <c r="K77" s="136"/>
    </row>
    <row r="78" spans="1:14" x14ac:dyDescent="0.25">
      <c r="A78" s="954" t="s">
        <v>7</v>
      </c>
      <c r="B78" s="955"/>
      <c r="C78" s="452" t="s">
        <v>12</v>
      </c>
      <c r="D78" s="453"/>
      <c r="E78" s="843">
        <v>7.5775276633744088E-2</v>
      </c>
      <c r="F78" s="840"/>
      <c r="G78" s="841"/>
      <c r="H78" s="456">
        <f>E78*(H74+E67+H46+E37+E12)</f>
        <v>377.74433828615446</v>
      </c>
      <c r="I78" s="457"/>
      <c r="J78" s="453"/>
      <c r="K78" s="136"/>
    </row>
    <row r="79" spans="1:14" ht="15" customHeight="1" x14ac:dyDescent="0.25">
      <c r="A79" s="954" t="s">
        <v>8</v>
      </c>
      <c r="B79" s="955"/>
      <c r="C79" s="320" t="s">
        <v>78</v>
      </c>
      <c r="D79" s="321"/>
      <c r="E79" s="845">
        <v>0.85750000000000004</v>
      </c>
      <c r="F79" s="846"/>
      <c r="G79" s="847"/>
      <c r="H79" s="450">
        <f>(H74+E67+H46+E37+E12)/E79</f>
        <v>5813.4816305400745</v>
      </c>
      <c r="I79" s="450"/>
      <c r="J79" s="450"/>
      <c r="K79" s="136"/>
    </row>
    <row r="80" spans="1:14" ht="15" customHeight="1" x14ac:dyDescent="0.25">
      <c r="A80" s="1060" t="s">
        <v>9</v>
      </c>
      <c r="B80" s="1060"/>
      <c r="C80" s="318" t="s">
        <v>79</v>
      </c>
      <c r="D80" s="319"/>
      <c r="E80" s="1061">
        <v>1.6500000000000001E-2</v>
      </c>
      <c r="F80" s="1061"/>
      <c r="G80" s="1061"/>
      <c r="H80" s="450">
        <f>E80*J88</f>
        <v>53.111850000000004</v>
      </c>
      <c r="I80" s="450"/>
      <c r="J80" s="450"/>
      <c r="K80" s="136"/>
    </row>
    <row r="81" spans="1:12" ht="15" customHeight="1" x14ac:dyDescent="0.25">
      <c r="A81" s="1060" t="s">
        <v>9</v>
      </c>
      <c r="B81" s="1060"/>
      <c r="C81" s="318" t="s">
        <v>80</v>
      </c>
      <c r="D81" s="319"/>
      <c r="E81" s="1061">
        <v>7.5999999999999998E-2</v>
      </c>
      <c r="F81" s="1061"/>
      <c r="G81" s="1061"/>
      <c r="H81" s="450">
        <f>E81*J88</f>
        <v>244.63640000000001</v>
      </c>
      <c r="I81" s="450"/>
      <c r="J81" s="450"/>
      <c r="K81" s="136"/>
    </row>
    <row r="82" spans="1:12" x14ac:dyDescent="0.25">
      <c r="A82" s="1060" t="s">
        <v>10</v>
      </c>
      <c r="B82" s="1060"/>
      <c r="C82" s="318" t="s">
        <v>81</v>
      </c>
      <c r="D82" s="319"/>
      <c r="E82" s="1061"/>
      <c r="F82" s="1061"/>
      <c r="G82" s="1061"/>
      <c r="H82" s="450"/>
      <c r="I82" s="450"/>
      <c r="J82" s="450"/>
      <c r="K82" s="136"/>
    </row>
    <row r="83" spans="1:12" ht="15.75" thickBot="1" x14ac:dyDescent="0.3">
      <c r="A83" s="1056" t="s">
        <v>11</v>
      </c>
      <c r="B83" s="1056"/>
      <c r="C83" s="1057" t="s">
        <v>110</v>
      </c>
      <c r="D83" s="1058"/>
      <c r="E83" s="1059">
        <v>0.05</v>
      </c>
      <c r="F83" s="1059"/>
      <c r="G83" s="1059"/>
      <c r="H83" s="449">
        <f>E83*J88</f>
        <v>160.94500000000002</v>
      </c>
      <c r="I83" s="449"/>
      <c r="J83" s="449"/>
      <c r="K83" s="136"/>
    </row>
    <row r="84" spans="1:12" ht="15.75" thickBot="1" x14ac:dyDescent="0.3">
      <c r="A84" s="570" t="s">
        <v>321</v>
      </c>
      <c r="B84" s="571"/>
      <c r="C84" s="571"/>
      <c r="D84" s="571"/>
      <c r="E84" s="571"/>
      <c r="F84" s="571"/>
      <c r="G84" s="572"/>
      <c r="H84" s="547">
        <f>H77+H78+H80+H81+H83</f>
        <v>1185.3918231593225</v>
      </c>
      <c r="I84" s="485"/>
      <c r="J84" s="486"/>
      <c r="K84" s="136"/>
    </row>
    <row r="85" spans="1:12" ht="10.5" customHeight="1" thickBot="1" x14ac:dyDescent="0.3">
      <c r="D85" s="135"/>
      <c r="E85" s="185"/>
      <c r="F85" s="185"/>
      <c r="G85" s="185"/>
      <c r="K85" s="136"/>
      <c r="L85" s="186"/>
    </row>
    <row r="86" spans="1:12" ht="15.75" thickBot="1" x14ac:dyDescent="0.3">
      <c r="A86" s="581" t="s">
        <v>85</v>
      </c>
      <c r="B86" s="582"/>
      <c r="C86" s="582"/>
      <c r="D86" s="582"/>
      <c r="E86" s="582"/>
      <c r="F86" s="582"/>
      <c r="G86" s="583"/>
      <c r="H86" s="534">
        <f>SUM(H84+H74+E67+H46+E37+E12)</f>
        <v>6170.4523213474367</v>
      </c>
      <c r="I86" s="535"/>
      <c r="J86" s="536"/>
    </row>
    <row r="88" spans="1:12" x14ac:dyDescent="0.25">
      <c r="J88" s="174">
        <v>3218.9</v>
      </c>
    </row>
    <row r="89" spans="1:12" ht="15.75" thickBot="1" x14ac:dyDescent="0.3">
      <c r="D89" s="188"/>
    </row>
  </sheetData>
  <mergeCells count="230">
    <mergeCell ref="B6:D6"/>
    <mergeCell ref="E6:J6"/>
    <mergeCell ref="B7:D7"/>
    <mergeCell ref="E7:J7"/>
    <mergeCell ref="B8:D8"/>
    <mergeCell ref="E8:J8"/>
    <mergeCell ref="A1:J1"/>
    <mergeCell ref="A2:C2"/>
    <mergeCell ref="D2:J2"/>
    <mergeCell ref="A3:J3"/>
    <mergeCell ref="A4:J4"/>
    <mergeCell ref="A5:J5"/>
    <mergeCell ref="A12:D12"/>
    <mergeCell ref="E12:J12"/>
    <mergeCell ref="A13:D13"/>
    <mergeCell ref="E13:J13"/>
    <mergeCell ref="A14:J14"/>
    <mergeCell ref="A15:J15"/>
    <mergeCell ref="B9:D9"/>
    <mergeCell ref="E9:J9"/>
    <mergeCell ref="B10:D10"/>
    <mergeCell ref="E10:J10"/>
    <mergeCell ref="B11:D11"/>
    <mergeCell ref="E11:J11"/>
    <mergeCell ref="A19:G19"/>
    <mergeCell ref="H19:J19"/>
    <mergeCell ref="B20:D20"/>
    <mergeCell ref="E20:G20"/>
    <mergeCell ref="H20:J20"/>
    <mergeCell ref="A21:J21"/>
    <mergeCell ref="A16:J16"/>
    <mergeCell ref="B17:D17"/>
    <mergeCell ref="E17:G17"/>
    <mergeCell ref="H17:J17"/>
    <mergeCell ref="B18:D18"/>
    <mergeCell ref="E18:G18"/>
    <mergeCell ref="H18:J18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28:B28"/>
    <mergeCell ref="C28:D28"/>
    <mergeCell ref="E28:G28"/>
    <mergeCell ref="H28:J28"/>
    <mergeCell ref="A29:B29"/>
    <mergeCell ref="C29:D29"/>
    <mergeCell ref="E29:G29"/>
    <mergeCell ref="H29:J29"/>
    <mergeCell ref="A26:B26"/>
    <mergeCell ref="C26:D26"/>
    <mergeCell ref="E26:G26"/>
    <mergeCell ref="H26:J26"/>
    <mergeCell ref="A27:B27"/>
    <mergeCell ref="C27:D27"/>
    <mergeCell ref="E27:G27"/>
    <mergeCell ref="H27:J27"/>
    <mergeCell ref="A33:B33"/>
    <mergeCell ref="C33:D33"/>
    <mergeCell ref="E33:G33"/>
    <mergeCell ref="H33:J33"/>
    <mergeCell ref="A34:B34"/>
    <mergeCell ref="C34:D34"/>
    <mergeCell ref="E34:G34"/>
    <mergeCell ref="H34:J34"/>
    <mergeCell ref="A30:D30"/>
    <mergeCell ref="E30:G30"/>
    <mergeCell ref="H30:J30"/>
    <mergeCell ref="A31:J31"/>
    <mergeCell ref="A32:B32"/>
    <mergeCell ref="C32:D32"/>
    <mergeCell ref="E32:G32"/>
    <mergeCell ref="H32:J32"/>
    <mergeCell ref="A37:D37"/>
    <mergeCell ref="E37:J37"/>
    <mergeCell ref="A38:J38"/>
    <mergeCell ref="A39:J39"/>
    <mergeCell ref="A40:B40"/>
    <mergeCell ref="C40:D40"/>
    <mergeCell ref="H40:J40"/>
    <mergeCell ref="A35:B35"/>
    <mergeCell ref="C35:D35"/>
    <mergeCell ref="E35:G35"/>
    <mergeCell ref="H35:J35"/>
    <mergeCell ref="A36:G36"/>
    <mergeCell ref="H36:J36"/>
    <mergeCell ref="A43:B43"/>
    <mergeCell ref="C43:D43"/>
    <mergeCell ref="E43:G43"/>
    <mergeCell ref="H43:J43"/>
    <mergeCell ref="A44:B44"/>
    <mergeCell ref="C44:D44"/>
    <mergeCell ref="E44:G44"/>
    <mergeCell ref="H44:J44"/>
    <mergeCell ref="A41:B41"/>
    <mergeCell ref="C41:D41"/>
    <mergeCell ref="H41:J41"/>
    <mergeCell ref="A42:B42"/>
    <mergeCell ref="C42:D42"/>
    <mergeCell ref="E42:G42"/>
    <mergeCell ref="H42:J42"/>
    <mergeCell ref="A48:J48"/>
    <mergeCell ref="A49:B49"/>
    <mergeCell ref="C49:D49"/>
    <mergeCell ref="H49:J49"/>
    <mergeCell ref="A50:B50"/>
    <mergeCell ref="C50:D50"/>
    <mergeCell ref="H50:J50"/>
    <mergeCell ref="A45:B45"/>
    <mergeCell ref="C45:D45"/>
    <mergeCell ref="E45:G45"/>
    <mergeCell ref="H45:J45"/>
    <mergeCell ref="H46:J46"/>
    <mergeCell ref="A46:G46"/>
    <mergeCell ref="A53:B53"/>
    <mergeCell ref="C53:D53"/>
    <mergeCell ref="E53:G53"/>
    <mergeCell ref="H53:J53"/>
    <mergeCell ref="A54:B54"/>
    <mergeCell ref="C54:D54"/>
    <mergeCell ref="E54:G54"/>
    <mergeCell ref="H54:J54"/>
    <mergeCell ref="A51:B51"/>
    <mergeCell ref="C51:D51"/>
    <mergeCell ref="E51:G51"/>
    <mergeCell ref="H51:J51"/>
    <mergeCell ref="A52:B52"/>
    <mergeCell ref="C52:D52"/>
    <mergeCell ref="E52:G52"/>
    <mergeCell ref="H52:J52"/>
    <mergeCell ref="A57:J57"/>
    <mergeCell ref="A58:B58"/>
    <mergeCell ref="C58:D58"/>
    <mergeCell ref="H58:J58"/>
    <mergeCell ref="A59:B59"/>
    <mergeCell ref="C59:D59"/>
    <mergeCell ref="H59:J59"/>
    <mergeCell ref="A55:B55"/>
    <mergeCell ref="C55:D55"/>
    <mergeCell ref="E55:G55"/>
    <mergeCell ref="H55:J55"/>
    <mergeCell ref="A56:D56"/>
    <mergeCell ref="E56:G56"/>
    <mergeCell ref="H56:J56"/>
    <mergeCell ref="A62:D62"/>
    <mergeCell ref="E62:G62"/>
    <mergeCell ref="H62:J62"/>
    <mergeCell ref="A63:J63"/>
    <mergeCell ref="A64:B64"/>
    <mergeCell ref="C64:D64"/>
    <mergeCell ref="H64:J64"/>
    <mergeCell ref="A60:B60"/>
    <mergeCell ref="C60:D60"/>
    <mergeCell ref="E60:G60"/>
    <mergeCell ref="H60:J60"/>
    <mergeCell ref="A61:B61"/>
    <mergeCell ref="C61:D61"/>
    <mergeCell ref="E61:G61"/>
    <mergeCell ref="H61:J61"/>
    <mergeCell ref="A67:D67"/>
    <mergeCell ref="E67:J67"/>
    <mergeCell ref="A69:J69"/>
    <mergeCell ref="A70:B70"/>
    <mergeCell ref="C70:D70"/>
    <mergeCell ref="E70:G70"/>
    <mergeCell ref="H70:J70"/>
    <mergeCell ref="A65:B65"/>
    <mergeCell ref="C65:D65"/>
    <mergeCell ref="H65:J65"/>
    <mergeCell ref="A66:D66"/>
    <mergeCell ref="E66:G66"/>
    <mergeCell ref="H66:J66"/>
    <mergeCell ref="A73:B73"/>
    <mergeCell ref="C73:D73"/>
    <mergeCell ref="E73:G73"/>
    <mergeCell ref="H73:J73"/>
    <mergeCell ref="H74:J74"/>
    <mergeCell ref="A71:B71"/>
    <mergeCell ref="C71:D71"/>
    <mergeCell ref="H71:J71"/>
    <mergeCell ref="A72:B72"/>
    <mergeCell ref="C72:D72"/>
    <mergeCell ref="E72:G72"/>
    <mergeCell ref="H72:J72"/>
    <mergeCell ref="A74:G74"/>
    <mergeCell ref="A79:B79"/>
    <mergeCell ref="C79:D79"/>
    <mergeCell ref="E79:G79"/>
    <mergeCell ref="H79:J79"/>
    <mergeCell ref="A80:B80"/>
    <mergeCell ref="C80:D80"/>
    <mergeCell ref="E80:G80"/>
    <mergeCell ref="H80:J80"/>
    <mergeCell ref="A76:J76"/>
    <mergeCell ref="A77:B77"/>
    <mergeCell ref="C77:D77"/>
    <mergeCell ref="E77:G77"/>
    <mergeCell ref="H77:J77"/>
    <mergeCell ref="A78:B78"/>
    <mergeCell ref="C78:D78"/>
    <mergeCell ref="E78:G78"/>
    <mergeCell ref="H78:J78"/>
    <mergeCell ref="A86:G86"/>
    <mergeCell ref="H86:J86"/>
    <mergeCell ref="A83:B83"/>
    <mergeCell ref="C83:D83"/>
    <mergeCell ref="E83:G83"/>
    <mergeCell ref="H83:J83"/>
    <mergeCell ref="A84:G84"/>
    <mergeCell ref="H84:J84"/>
    <mergeCell ref="A81:B81"/>
    <mergeCell ref="C81:D81"/>
    <mergeCell ref="E81:G81"/>
    <mergeCell ref="H81:J81"/>
    <mergeCell ref="A82:B82"/>
    <mergeCell ref="C82:D82"/>
    <mergeCell ref="E82:G82"/>
    <mergeCell ref="H82:J82"/>
  </mergeCells>
  <pageMargins left="1.02362204724409" right="0.62992125984252001" top="1.37795275590551" bottom="1.37795275590551" header="0.511811023622047" footer="0.511811023622047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74</vt:i4>
      </vt:variant>
      <vt:variant>
        <vt:lpstr>Intervalos nomeados</vt:lpstr>
      </vt:variant>
      <vt:variant>
        <vt:i4>7</vt:i4>
      </vt:variant>
    </vt:vector>
  </HeadingPairs>
  <TitlesOfParts>
    <vt:vector size="81" baseType="lpstr">
      <vt:lpstr>CARGOS E SAL BASE</vt:lpstr>
      <vt:lpstr>COMPARAÇÃO PMPA</vt:lpstr>
      <vt:lpstr>PROPOSTA DE PREÇOS</vt:lpstr>
      <vt:lpstr>REG. DE TRIBUTAÇÃO</vt:lpstr>
      <vt:lpstr>AUXILIAR ADMINISTRATIVO</vt:lpstr>
      <vt:lpstr>AUX ADM 12X36 DIURNO</vt:lpstr>
      <vt:lpstr>RECEPCIONISTA 44</vt:lpstr>
      <vt:lpstr>RECEPCIONISTA 12X36</vt:lpstr>
      <vt:lpstr>RECEPCIONISTA 12X36 N</vt:lpstr>
      <vt:lpstr>AUXILIAR DE COZINHA</vt:lpstr>
      <vt:lpstr>AUXILIAR DE COZINHA 12X36</vt:lpstr>
      <vt:lpstr>AUXILIAR DE LIMPEZA</vt:lpstr>
      <vt:lpstr>AUXILIAR DE LIMPEZA S INS</vt:lpstr>
      <vt:lpstr>AUXILIAR DE LIMPEZA C IN 40</vt:lpstr>
      <vt:lpstr>AUX LIM 12X36 S INS</vt:lpstr>
      <vt:lpstr>AUX LIM 12X36 C INS 20%</vt:lpstr>
      <vt:lpstr>AUX LIM 12X36 C INS 40%</vt:lpstr>
      <vt:lpstr>AUX LIM 12X36 N SEM INS</vt:lpstr>
      <vt:lpstr>AUX LIM 12X36 N COM 20%</vt:lpstr>
      <vt:lpstr>AUX LIM 12X36 N COM 40%</vt:lpstr>
      <vt:lpstr>VARREDEIRA</vt:lpstr>
      <vt:lpstr>GARI-VARREDEIRA-CARRINHEIRO</vt:lpstr>
      <vt:lpstr>COLETOR DE LIXO</vt:lpstr>
      <vt:lpstr>AGENTE DE FISCALIZAÇÃO DE RUA</vt:lpstr>
      <vt:lpstr>JARDINEIRO</vt:lpstr>
      <vt:lpstr>CONTINUO</vt:lpstr>
      <vt:lpstr>TECNICO RX</vt:lpstr>
      <vt:lpstr>TECNICO RX NOITE</vt:lpstr>
      <vt:lpstr>TELEFONISTA </vt:lpstr>
      <vt:lpstr>MONITOR DE TRANSPORTES</vt:lpstr>
      <vt:lpstr>MOTORISTA DE CAMINHÃO</vt:lpstr>
      <vt:lpstr>MOTORISTA DE CARRO</vt:lpstr>
      <vt:lpstr>MOTORISTA DE ÔNIBUS</vt:lpstr>
      <vt:lpstr>MOTORISTA DE AMBULANCIA</vt:lpstr>
      <vt:lpstr>MOTORISTA DE AMBULANCIA NOITE</vt:lpstr>
      <vt:lpstr>PORTEIRO</vt:lpstr>
      <vt:lpstr>PORTEIRO 12x36</vt:lpstr>
      <vt:lpstr>PORTEIRO NOTURNO12X36</vt:lpstr>
      <vt:lpstr>FARMACEUTICO</vt:lpstr>
      <vt:lpstr>TECNICO LABORATORIO</vt:lpstr>
      <vt:lpstr>TECNICO LAB 12X36</vt:lpstr>
      <vt:lpstr>TECNICO LAB 12X36 N</vt:lpstr>
      <vt:lpstr>ENFERMEIRO DIURNO</vt:lpstr>
      <vt:lpstr>ENFERMEIRO NOITE</vt:lpstr>
      <vt:lpstr>FISIOTERAPEUTA</vt:lpstr>
      <vt:lpstr>TEC ENFERM 12X36</vt:lpstr>
      <vt:lpstr>TEC ENFERM 12X36 N</vt:lpstr>
      <vt:lpstr>COZINHEIRO</vt:lpstr>
      <vt:lpstr>COZINHEIRO 12X36 DIA</vt:lpstr>
      <vt:lpstr>AUX SAUDE BUCAL</vt:lpstr>
      <vt:lpstr>TEC SAUDE BUCAL</vt:lpstr>
      <vt:lpstr>ATENDENTE DE FARMACIA</vt:lpstr>
      <vt:lpstr>MOTORISTA DE LIXO</vt:lpstr>
      <vt:lpstr>ROÇADOR</vt:lpstr>
      <vt:lpstr>SUPERVISOR</vt:lpstr>
      <vt:lpstr>ENCARREGADO</vt:lpstr>
      <vt:lpstr>ASS SOCIAL</vt:lpstr>
      <vt:lpstr>BIOQUIMICO</vt:lpstr>
      <vt:lpstr>BIOQUIMICO N</vt:lpstr>
      <vt:lpstr>DENTISTA</vt:lpstr>
      <vt:lpstr>FONOAUDIOLOGO</vt:lpstr>
      <vt:lpstr>NUTRICIONISTA</vt:lpstr>
      <vt:lpstr>PSICOLOGO</vt:lpstr>
      <vt:lpstr>TERAPEUTA</vt:lpstr>
      <vt:lpstr>MEDICO CLINICO 20H</vt:lpstr>
      <vt:lpstr>MEDICO CLINICO 40H</vt:lpstr>
      <vt:lpstr>MEDICO ESP</vt:lpstr>
      <vt:lpstr>PLANTONISTA</vt:lpstr>
      <vt:lpstr>OBRAS 1</vt:lpstr>
      <vt:lpstr>OBRAS AJUDANTE</vt:lpstr>
      <vt:lpstr>ENGº JÚNIOR</vt:lpstr>
      <vt:lpstr>ENGº PLENO</vt:lpstr>
      <vt:lpstr>ENG° SENIOR</vt:lpstr>
      <vt:lpstr>TEC INFORMATICA</vt:lpstr>
      <vt:lpstr>'AUX ADM 12X36 DIURNO'!Area_de_impressao</vt:lpstr>
      <vt:lpstr>'AUXILIAR ADMINISTRATIVO'!Area_de_impressao</vt:lpstr>
      <vt:lpstr>'MEDICO CLINICO 20H'!Area_de_impressao</vt:lpstr>
      <vt:lpstr>'MEDICO ESP'!Area_de_impressao</vt:lpstr>
      <vt:lpstr>PSICOLOGO!Area_de_impressao</vt:lpstr>
      <vt:lpstr>'REG. DE TRIBUTAÇÃO'!Area_de_impressao</vt:lpstr>
      <vt:lpstr>'TECNICO RX NOITE'!Area_de_impressao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2021-03-10T21:55:15Z</dcterms:modified>
</cp:coreProperties>
</file>